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45788</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45788</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45788</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45788</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45788</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45788</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45788</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45788</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45788</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45788</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45788</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45788</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45788</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45788</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45788</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45788</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45788</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45788</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45788</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45788</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45788</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45788</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45788</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45788</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45788</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45788</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45788</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45788</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45788</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45788</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45788</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45788</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45788</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45788</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45788</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45788</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45788</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45788</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45788</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45788</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45788</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45788</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45788</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45788</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45788</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45788</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45788</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45788</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45788</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45788</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45788</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45788</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45788</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45788</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45788</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45788</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45788</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45788</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45788</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45788</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45788</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45788</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45788</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45788</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45788</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45788</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45788</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45788</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45788</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45788</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45788</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45788</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45788</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45788</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45788</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45788</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45788</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45788</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45788</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45788</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45788</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45788</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45788</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45788</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45788</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45788</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45788</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45788</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45788</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45788</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45788</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45788</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45788</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45788</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45788</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45788</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45788</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21611-2025</t>
        </is>
      </c>
      <c r="B143" s="1" t="n">
        <v>45783</v>
      </c>
      <c r="C143" s="1" t="n">
        <v>45788</v>
      </c>
      <c r="D143" t="inlineStr">
        <is>
          <t>VÄSTERBOTTENS LÄN</t>
        </is>
      </c>
      <c r="E143" t="inlineStr">
        <is>
          <t>UMEÅ</t>
        </is>
      </c>
      <c r="G143" t="n">
        <v>18.6</v>
      </c>
      <c r="H143" t="n">
        <v>1</v>
      </c>
      <c r="I143" t="n">
        <v>3</v>
      </c>
      <c r="J143" t="n">
        <v>8</v>
      </c>
      <c r="K143" t="n">
        <v>3</v>
      </c>
      <c r="L143" t="n">
        <v>0</v>
      </c>
      <c r="M143" t="n">
        <v>0</v>
      </c>
      <c r="N143" t="n">
        <v>0</v>
      </c>
      <c r="O143" t="n">
        <v>12</v>
      </c>
      <c r="P143" t="n">
        <v>3</v>
      </c>
      <c r="Q143" t="n">
        <v>15</v>
      </c>
      <c r="R143" s="2" t="inlineStr">
        <is>
          <t>Rynkskinn
Smal trollknäppare
Tallbit
Baltiskt skogsfly
Doftskinn
Garnlav
Granticka
Grå blåbärsfältmätare
Mindre bockrotsplattmal
Skogsfältmätare
Tiofläckig vedsvampbagge
Mörk kådsvartspik
Mörk husmossa
Skuggblåslav
Vedticka</t>
        </is>
      </c>
      <c r="S143">
        <f>HYPERLINK("https://klasma.github.io/Logging_242480/artfynd/A 21611-2025 artfynd.xlsx", "A 21611-2025")</f>
        <v/>
      </c>
      <c r="T143">
        <f>HYPERLINK("https://klasma.github.io/Logging_242480/kartor/A 21611-2025 karta.png", "A 21611-2025")</f>
        <v/>
      </c>
      <c r="V143">
        <f>HYPERLINK("https://klasma.github.io/Logging_242480/klagomål/A 21611-2025 FSC-klagomål.docx", "A 21611-2025")</f>
        <v/>
      </c>
      <c r="W143">
        <f>HYPERLINK("https://klasma.github.io/Logging_242480/klagomålsmail/A 21611-2025 FSC-klagomål mail.docx", "A 21611-2025")</f>
        <v/>
      </c>
      <c r="X143">
        <f>HYPERLINK("https://klasma.github.io/Logging_242480/tillsyn/A 21611-2025 tillsynsbegäran.docx", "A 21611-2025")</f>
        <v/>
      </c>
      <c r="Y143">
        <f>HYPERLINK("https://klasma.github.io/Logging_242480/tillsynsmail/A 21611-2025 tillsynsbegäran mail.docx", "A 21611-2025")</f>
        <v/>
      </c>
      <c r="Z143">
        <f>HYPERLINK("https://klasma.github.io/Logging_242480/fåglar/A 21611-2025 prioriterade fågelarter.docx", "A 21611-2025")</f>
        <v/>
      </c>
    </row>
    <row r="144" ht="15" customHeight="1">
      <c r="A144" t="inlineStr">
        <is>
          <t>A 7355-2020</t>
        </is>
      </c>
      <c r="B144" s="1" t="n">
        <v>43871</v>
      </c>
      <c r="C144" s="1" t="n">
        <v>45788</v>
      </c>
      <c r="D144" t="inlineStr">
        <is>
          <t>VÄSTERBOTTENS LÄN</t>
        </is>
      </c>
      <c r="E144" t="inlineStr">
        <is>
          <t>NORDMALING</t>
        </is>
      </c>
      <c r="G144" t="n">
        <v>18.4</v>
      </c>
      <c r="H144" t="n">
        <v>1</v>
      </c>
      <c r="I144" t="n">
        <v>3</v>
      </c>
      <c r="J144" t="n">
        <v>10</v>
      </c>
      <c r="K144" t="n">
        <v>1</v>
      </c>
      <c r="L144" t="n">
        <v>0</v>
      </c>
      <c r="M144" t="n">
        <v>0</v>
      </c>
      <c r="N144" t="n">
        <v>0</v>
      </c>
      <c r="O144" t="n">
        <v>11</v>
      </c>
      <c r="P144" t="n">
        <v>1</v>
      </c>
      <c r="Q144" t="n">
        <v>14</v>
      </c>
      <c r="R144" s="2" t="inlineStr">
        <is>
          <t>Gräddporing
Garnlav
Granticka
Lunglav
Spillkråka
Stiftgelélav
Ullticka
Vedflamlav
Vedskivlav
Violettgrå tagellav
Vitgrynig nållav
Skinnlav
Stuplav
Vedticka</t>
        </is>
      </c>
      <c r="S144">
        <f>HYPERLINK("https://klasma.github.io/Logging_2401/artfynd/A 7355-2020 artfynd.xlsx", "A 7355-2020")</f>
        <v/>
      </c>
      <c r="T144">
        <f>HYPERLINK("https://klasma.github.io/Logging_2401/kartor/A 7355-2020 karta.png", "A 7355-2020")</f>
        <v/>
      </c>
      <c r="V144">
        <f>HYPERLINK("https://klasma.github.io/Logging_2401/klagomål/A 7355-2020 FSC-klagomål.docx", "A 7355-2020")</f>
        <v/>
      </c>
      <c r="W144">
        <f>HYPERLINK("https://klasma.github.io/Logging_2401/klagomålsmail/A 7355-2020 FSC-klagomål mail.docx", "A 7355-2020")</f>
        <v/>
      </c>
      <c r="X144">
        <f>HYPERLINK("https://klasma.github.io/Logging_2401/tillsyn/A 7355-2020 tillsynsbegäran.docx", "A 7355-2020")</f>
        <v/>
      </c>
      <c r="Y144">
        <f>HYPERLINK("https://klasma.github.io/Logging_2401/tillsynsmail/A 7355-2020 tillsynsbegäran mail.docx", "A 7355-2020")</f>
        <v/>
      </c>
      <c r="Z144">
        <f>HYPERLINK("https://klasma.github.io/Logging_2401/fåglar/A 7355-2020 prioriterade fågelarter.docx", "A 7355-2020")</f>
        <v/>
      </c>
    </row>
    <row r="145" ht="15" customHeight="1">
      <c r="A145" t="inlineStr">
        <is>
          <t>A 43982-2020</t>
        </is>
      </c>
      <c r="B145" s="1" t="n">
        <v>44078</v>
      </c>
      <c r="C145" s="1" t="n">
        <v>45788</v>
      </c>
      <c r="D145" t="inlineStr">
        <is>
          <t>VÄSTERBOTTENS LÄN</t>
        </is>
      </c>
      <c r="E145" t="inlineStr">
        <is>
          <t>SORSELE</t>
        </is>
      </c>
      <c r="F145" t="inlineStr">
        <is>
          <t>Allmännings- och besparingsskogar</t>
        </is>
      </c>
      <c r="G145" t="n">
        <v>981</v>
      </c>
      <c r="H145" t="n">
        <v>1</v>
      </c>
      <c r="I145" t="n">
        <v>1</v>
      </c>
      <c r="J145" t="n">
        <v>10</v>
      </c>
      <c r="K145" t="n">
        <v>3</v>
      </c>
      <c r="L145" t="n">
        <v>0</v>
      </c>
      <c r="M145" t="n">
        <v>0</v>
      </c>
      <c r="N145" t="n">
        <v>0</v>
      </c>
      <c r="O145" t="n">
        <v>13</v>
      </c>
      <c r="P145" t="n">
        <v>3</v>
      </c>
      <c r="Q145" t="n">
        <v>14</v>
      </c>
      <c r="R145" s="2" t="inlineStr">
        <is>
          <t>Ostticka
Rynkskinn
Tajgaskinn
Gammelgransskål
Garnlav
Granticka
Gränsticka
Harticka
Rosenticka
Rödbrun blekspik
Skrovellav
Tretåig hackspett
Ullticka
Vedticka</t>
        </is>
      </c>
      <c r="S145">
        <f>HYPERLINK("https://klasma.github.io/Logging_2422/artfynd/A 43982-2020 artfynd.xlsx", "A 43982-2020")</f>
        <v/>
      </c>
      <c r="T145">
        <f>HYPERLINK("https://klasma.github.io/Logging_2422/kartor/A 43982-2020 karta.png", "A 43982-2020")</f>
        <v/>
      </c>
      <c r="V145">
        <f>HYPERLINK("https://klasma.github.io/Logging_2422/klagomål/A 43982-2020 FSC-klagomål.docx", "A 43982-2020")</f>
        <v/>
      </c>
      <c r="W145">
        <f>HYPERLINK("https://klasma.github.io/Logging_2422/klagomålsmail/A 43982-2020 FSC-klagomål mail.docx", "A 43982-2020")</f>
        <v/>
      </c>
      <c r="X145">
        <f>HYPERLINK("https://klasma.github.io/Logging_2422/tillsyn/A 43982-2020 tillsynsbegäran.docx", "A 43982-2020")</f>
        <v/>
      </c>
      <c r="Y145">
        <f>HYPERLINK("https://klasma.github.io/Logging_2422/tillsynsmail/A 43982-2020 tillsynsbegäran mail.docx", "A 43982-2020")</f>
        <v/>
      </c>
      <c r="Z145">
        <f>HYPERLINK("https://klasma.github.io/Logging_2422/fåglar/A 43982-2020 prioriterade fågelarter.docx", "A 43982-2020")</f>
        <v/>
      </c>
    </row>
    <row r="146" ht="15" customHeight="1">
      <c r="A146" t="inlineStr">
        <is>
          <t>A 29807-2021</t>
        </is>
      </c>
      <c r="B146" s="1" t="n">
        <v>44362</v>
      </c>
      <c r="C146" s="1" t="n">
        <v>45788</v>
      </c>
      <c r="D146" t="inlineStr">
        <is>
          <t>VÄSTERBOTTENS LÄN</t>
        </is>
      </c>
      <c r="E146" t="inlineStr">
        <is>
          <t>SKELLEFTEÅ</t>
        </is>
      </c>
      <c r="G146" t="n">
        <v>14.8</v>
      </c>
      <c r="H146" t="n">
        <v>3</v>
      </c>
      <c r="I146" t="n">
        <v>2</v>
      </c>
      <c r="J146" t="n">
        <v>12</v>
      </c>
      <c r="K146" t="n">
        <v>0</v>
      </c>
      <c r="L146" t="n">
        <v>0</v>
      </c>
      <c r="M146" t="n">
        <v>0</v>
      </c>
      <c r="N146" t="n">
        <v>0</v>
      </c>
      <c r="O146" t="n">
        <v>12</v>
      </c>
      <c r="P146" t="n">
        <v>0</v>
      </c>
      <c r="Q146" t="n">
        <v>14</v>
      </c>
      <c r="R146" s="2" t="inlineStr">
        <is>
          <t>Gammelgransskål
Granticka
Orange taggsvamp
Rödvingetrast
Skrovlig taggsvamp
Spillkråka
Svartvit taggsvamp
Tallriska
Talltaggsvamp
Tallticka
Tretåig hackspett
Violettgrå tagellav
Dropptaggsvamp
Skarp dropptaggsvamp</t>
        </is>
      </c>
      <c r="S146">
        <f>HYPERLINK("https://klasma.github.io/Logging_2482/artfynd/A 29807-2021 artfynd.xlsx", "A 29807-2021")</f>
        <v/>
      </c>
      <c r="T146">
        <f>HYPERLINK("https://klasma.github.io/Logging_2482/kartor/A 29807-2021 karta.png", "A 29807-2021")</f>
        <v/>
      </c>
      <c r="V146">
        <f>HYPERLINK("https://klasma.github.io/Logging_2482/klagomål/A 29807-2021 FSC-klagomål.docx", "A 29807-2021")</f>
        <v/>
      </c>
      <c r="W146">
        <f>HYPERLINK("https://klasma.github.io/Logging_2482/klagomålsmail/A 29807-2021 FSC-klagomål mail.docx", "A 29807-2021")</f>
        <v/>
      </c>
      <c r="X146">
        <f>HYPERLINK("https://klasma.github.io/Logging_2482/tillsyn/A 29807-2021 tillsynsbegäran.docx", "A 29807-2021")</f>
        <v/>
      </c>
      <c r="Y146">
        <f>HYPERLINK("https://klasma.github.io/Logging_2482/tillsynsmail/A 29807-2021 tillsynsbegäran mail.docx", "A 29807-2021")</f>
        <v/>
      </c>
      <c r="Z146">
        <f>HYPERLINK("https://klasma.github.io/Logging_2482/fåglar/A 29807-2021 prioriterade fågelarter.docx", "A 29807-2021")</f>
        <v/>
      </c>
    </row>
    <row r="147" ht="15" customHeight="1">
      <c r="A147" t="inlineStr">
        <is>
          <t>A 44406-2021</t>
        </is>
      </c>
      <c r="B147" s="1" t="n">
        <v>44435</v>
      </c>
      <c r="C147" s="1" t="n">
        <v>45788</v>
      </c>
      <c r="D147" t="inlineStr">
        <is>
          <t>VÄSTERBOTTENS LÄN</t>
        </is>
      </c>
      <c r="E147" t="inlineStr">
        <is>
          <t>STORUMAN</t>
        </is>
      </c>
      <c r="G147" t="n">
        <v>43.8</v>
      </c>
      <c r="H147" t="n">
        <v>2</v>
      </c>
      <c r="I147" t="n">
        <v>3</v>
      </c>
      <c r="J147" t="n">
        <v>7</v>
      </c>
      <c r="K147" t="n">
        <v>3</v>
      </c>
      <c r="L147" t="n">
        <v>0</v>
      </c>
      <c r="M147" t="n">
        <v>0</v>
      </c>
      <c r="N147" t="n">
        <v>0</v>
      </c>
      <c r="O147" t="n">
        <v>10</v>
      </c>
      <c r="P147" t="n">
        <v>3</v>
      </c>
      <c r="Q147" t="n">
        <v>14</v>
      </c>
      <c r="R147" s="2" t="inlineStr">
        <is>
          <t>Fjällfotad musseron
Rynkskinn
Tajgaskinn
Garnlav
Granticka
Gränsticka
Harticka
Rosenticka
Tretåig hackspett
Ullticka
Bronshjon
Svavelriska
Trådticka
Lavskrika</t>
        </is>
      </c>
      <c r="S147">
        <f>HYPERLINK("https://klasma.github.io/Logging_2421/artfynd/A 44406-2021 artfynd.xlsx", "A 44406-2021")</f>
        <v/>
      </c>
      <c r="T147">
        <f>HYPERLINK("https://klasma.github.io/Logging_2421/kartor/A 44406-2021 karta.png", "A 44406-2021")</f>
        <v/>
      </c>
      <c r="V147">
        <f>HYPERLINK("https://klasma.github.io/Logging_2421/klagomål/A 44406-2021 FSC-klagomål.docx", "A 44406-2021")</f>
        <v/>
      </c>
      <c r="W147">
        <f>HYPERLINK("https://klasma.github.io/Logging_2421/klagomålsmail/A 44406-2021 FSC-klagomål mail.docx", "A 44406-2021")</f>
        <v/>
      </c>
      <c r="X147">
        <f>HYPERLINK("https://klasma.github.io/Logging_2421/tillsyn/A 44406-2021 tillsynsbegäran.docx", "A 44406-2021")</f>
        <v/>
      </c>
      <c r="Y147">
        <f>HYPERLINK("https://klasma.github.io/Logging_2421/tillsynsmail/A 44406-2021 tillsynsbegäran mail.docx", "A 44406-2021")</f>
        <v/>
      </c>
      <c r="Z147">
        <f>HYPERLINK("https://klasma.github.io/Logging_2421/fåglar/A 44406-2021 prioriterade fågelarter.docx", "A 44406-2021")</f>
        <v/>
      </c>
    </row>
    <row r="148" ht="15" customHeight="1">
      <c r="A148" t="inlineStr">
        <is>
          <t>A 45775-2022</t>
        </is>
      </c>
      <c r="B148" s="1" t="n">
        <v>44838</v>
      </c>
      <c r="C148" s="1" t="n">
        <v>45788</v>
      </c>
      <c r="D148" t="inlineStr">
        <is>
          <t>VÄSTERBOTTENS LÄN</t>
        </is>
      </c>
      <c r="E148" t="inlineStr">
        <is>
          <t>VILHELMINA</t>
        </is>
      </c>
      <c r="F148" t="inlineStr">
        <is>
          <t>Allmännings- och besparingsskogar</t>
        </is>
      </c>
      <c r="G148" t="n">
        <v>22.9</v>
      </c>
      <c r="H148" t="n">
        <v>2</v>
      </c>
      <c r="I148" t="n">
        <v>6</v>
      </c>
      <c r="J148" t="n">
        <v>8</v>
      </c>
      <c r="K148" t="n">
        <v>0</v>
      </c>
      <c r="L148" t="n">
        <v>0</v>
      </c>
      <c r="M148" t="n">
        <v>0</v>
      </c>
      <c r="N148" t="n">
        <v>0</v>
      </c>
      <c r="O148" t="n">
        <v>8</v>
      </c>
      <c r="P148" t="n">
        <v>0</v>
      </c>
      <c r="Q148" t="n">
        <v>14</v>
      </c>
      <c r="R148" s="2" t="inlineStr">
        <is>
          <t>Brunpudrad nållav
Garnlav
Järpe
Knottrig blåslav
Skrovellav
Talltita
Ullticka
Vitgrynig nållav
Bårdlav
Korallblylav
Luddlav
Skinnlav
Stuplav
Vedticka</t>
        </is>
      </c>
      <c r="S148">
        <f>HYPERLINK("https://klasma.github.io/Logging_2462/artfynd/A 45775-2022 artfynd.xlsx", "A 45775-2022")</f>
        <v/>
      </c>
      <c r="T148">
        <f>HYPERLINK("https://klasma.github.io/Logging_2462/kartor/A 45775-2022 karta.png", "A 45775-2022")</f>
        <v/>
      </c>
      <c r="V148">
        <f>HYPERLINK("https://klasma.github.io/Logging_2462/klagomål/A 45775-2022 FSC-klagomål.docx", "A 45775-2022")</f>
        <v/>
      </c>
      <c r="W148">
        <f>HYPERLINK("https://klasma.github.io/Logging_2462/klagomålsmail/A 45775-2022 FSC-klagomål mail.docx", "A 45775-2022")</f>
        <v/>
      </c>
      <c r="X148">
        <f>HYPERLINK("https://klasma.github.io/Logging_2462/tillsyn/A 45775-2022 tillsynsbegäran.docx", "A 45775-2022")</f>
        <v/>
      </c>
      <c r="Y148">
        <f>HYPERLINK("https://klasma.github.io/Logging_2462/tillsynsmail/A 45775-2022 tillsynsbegäran mail.docx", "A 45775-2022")</f>
        <v/>
      </c>
      <c r="Z148">
        <f>HYPERLINK("https://klasma.github.io/Logging_2462/fåglar/A 45775-2022 prioriterade fågelarter.docx", "A 45775-2022")</f>
        <v/>
      </c>
    </row>
    <row r="149" ht="15" customHeight="1">
      <c r="A149" t="inlineStr">
        <is>
          <t>A 3140-2023</t>
        </is>
      </c>
      <c r="B149" s="1" t="n">
        <v>44945</v>
      </c>
      <c r="C149" s="1" t="n">
        <v>45788</v>
      </c>
      <c r="D149" t="inlineStr">
        <is>
          <t>VÄSTERBOTTENS LÄN</t>
        </is>
      </c>
      <c r="E149" t="inlineStr">
        <is>
          <t>VILHELMINA</t>
        </is>
      </c>
      <c r="F149" t="inlineStr">
        <is>
          <t>Allmännings- och besparingsskogar</t>
        </is>
      </c>
      <c r="G149" t="n">
        <v>20.9</v>
      </c>
      <c r="H149" t="n">
        <v>3</v>
      </c>
      <c r="I149" t="n">
        <v>2</v>
      </c>
      <c r="J149" t="n">
        <v>12</v>
      </c>
      <c r="K149" t="n">
        <v>0</v>
      </c>
      <c r="L149" t="n">
        <v>0</v>
      </c>
      <c r="M149" t="n">
        <v>0</v>
      </c>
      <c r="N149" t="n">
        <v>0</v>
      </c>
      <c r="O149" t="n">
        <v>12</v>
      </c>
      <c r="P149" t="n">
        <v>0</v>
      </c>
      <c r="Q149" t="n">
        <v>14</v>
      </c>
      <c r="R149" s="2" t="inlineStr">
        <is>
          <t>Blanksvart spiklav
Blågrå svartspik
Gammelgransskål
Garnlav
Knottrig blåslav
Liten svartspik
Reliktbock
Spillkråka
Talltita
Tretåig hackspett
Vedflamlav
Vitgrynig nållav
Bårdlav
Stuplav</t>
        </is>
      </c>
      <c r="S149">
        <f>HYPERLINK("https://klasma.github.io/Logging_2462/artfynd/A 3140-2023 artfynd.xlsx", "A 3140-2023")</f>
        <v/>
      </c>
      <c r="T149">
        <f>HYPERLINK("https://klasma.github.io/Logging_2462/kartor/A 3140-2023 karta.png", "A 3140-2023")</f>
        <v/>
      </c>
      <c r="V149">
        <f>HYPERLINK("https://klasma.github.io/Logging_2462/klagomål/A 3140-2023 FSC-klagomål.docx", "A 3140-2023")</f>
        <v/>
      </c>
      <c r="W149">
        <f>HYPERLINK("https://klasma.github.io/Logging_2462/klagomålsmail/A 3140-2023 FSC-klagomål mail.docx", "A 3140-2023")</f>
        <v/>
      </c>
      <c r="X149">
        <f>HYPERLINK("https://klasma.github.io/Logging_2462/tillsyn/A 3140-2023 tillsynsbegäran.docx", "A 3140-2023")</f>
        <v/>
      </c>
      <c r="Y149">
        <f>HYPERLINK("https://klasma.github.io/Logging_2462/tillsynsmail/A 3140-2023 tillsynsbegäran mail.docx", "A 3140-2023")</f>
        <v/>
      </c>
      <c r="Z149">
        <f>HYPERLINK("https://klasma.github.io/Logging_2462/fåglar/A 3140-2023 prioriterade fågelarter.docx", "A 3140-2023")</f>
        <v/>
      </c>
    </row>
    <row r="150" ht="15" customHeight="1">
      <c r="A150" t="inlineStr">
        <is>
          <t>A 21627-2023</t>
        </is>
      </c>
      <c r="B150" s="1" t="n">
        <v>45062</v>
      </c>
      <c r="C150" s="1" t="n">
        <v>45788</v>
      </c>
      <c r="D150" t="inlineStr">
        <is>
          <t>VÄSTERBOTTENS LÄN</t>
        </is>
      </c>
      <c r="E150" t="inlineStr">
        <is>
          <t>BJURHOLM</t>
        </is>
      </c>
      <c r="G150" t="n">
        <v>13.8</v>
      </c>
      <c r="H150" t="n">
        <v>1</v>
      </c>
      <c r="I150" t="n">
        <v>7</v>
      </c>
      <c r="J150" t="n">
        <v>5</v>
      </c>
      <c r="K150" t="n">
        <v>2</v>
      </c>
      <c r="L150" t="n">
        <v>0</v>
      </c>
      <c r="M150" t="n">
        <v>0</v>
      </c>
      <c r="N150" t="n">
        <v>0</v>
      </c>
      <c r="O150" t="n">
        <v>7</v>
      </c>
      <c r="P150" t="n">
        <v>2</v>
      </c>
      <c r="Q150" t="n">
        <v>14</v>
      </c>
      <c r="R150" s="2" t="inlineStr">
        <is>
          <t>Knärot
Rynkskinn
Garnlav
Granticka
Lunglav
Ullticka
Vitgrynig nållav
Bårdlav
Dropptaggsvamp
Luddlav
Skinnlav
Stor aspticka
Stuplav
Vedticka</t>
        </is>
      </c>
      <c r="S150">
        <f>HYPERLINK("https://klasma.github.io/Logging_2403/artfynd/A 21627-2023 artfynd.xlsx", "A 21627-2023")</f>
        <v/>
      </c>
      <c r="T150">
        <f>HYPERLINK("https://klasma.github.io/Logging_2403/kartor/A 21627-2023 karta.png", "A 21627-2023")</f>
        <v/>
      </c>
      <c r="U150">
        <f>HYPERLINK("https://klasma.github.io/Logging_2403/knärot/A 21627-2023 karta knärot.png", "A 21627-2023")</f>
        <v/>
      </c>
      <c r="V150">
        <f>HYPERLINK("https://klasma.github.io/Logging_2403/klagomål/A 21627-2023 FSC-klagomål.docx", "A 21627-2023")</f>
        <v/>
      </c>
      <c r="W150">
        <f>HYPERLINK("https://klasma.github.io/Logging_2403/klagomålsmail/A 21627-2023 FSC-klagomål mail.docx", "A 21627-2023")</f>
        <v/>
      </c>
      <c r="X150">
        <f>HYPERLINK("https://klasma.github.io/Logging_2403/tillsyn/A 21627-2023 tillsynsbegäran.docx", "A 21627-2023")</f>
        <v/>
      </c>
      <c r="Y150">
        <f>HYPERLINK("https://klasma.github.io/Logging_2403/tillsynsmail/A 21627-2023 tillsynsbegäran mail.docx", "A 21627-2023")</f>
        <v/>
      </c>
    </row>
    <row r="151" ht="15" customHeight="1">
      <c r="A151" t="inlineStr">
        <is>
          <t>A 37775-2023</t>
        </is>
      </c>
      <c r="B151" s="1" t="n">
        <v>45156</v>
      </c>
      <c r="C151" s="1" t="n">
        <v>45788</v>
      </c>
      <c r="D151" t="inlineStr">
        <is>
          <t>VÄSTERBOTTENS LÄN</t>
        </is>
      </c>
      <c r="E151" t="inlineStr">
        <is>
          <t>VILHELMINA</t>
        </is>
      </c>
      <c r="G151" t="n">
        <v>39.4</v>
      </c>
      <c r="H151" t="n">
        <v>3</v>
      </c>
      <c r="I151" t="n">
        <v>3</v>
      </c>
      <c r="J151" t="n">
        <v>11</v>
      </c>
      <c r="K151" t="n">
        <v>0</v>
      </c>
      <c r="L151" t="n">
        <v>0</v>
      </c>
      <c r="M151" t="n">
        <v>0</v>
      </c>
      <c r="N151" t="n">
        <v>0</v>
      </c>
      <c r="O151" t="n">
        <v>11</v>
      </c>
      <c r="P151" t="n">
        <v>0</v>
      </c>
      <c r="Q151" t="n">
        <v>14</v>
      </c>
      <c r="R151" s="2" t="inlineStr">
        <is>
          <t>Brunpudrad nållav
Gammelgransskål
Garnlav
Granticka
Harticka
Rosenticka
Rödbrun blekspik
Talltita
Tretåig hackspett
Ullticka
Vitgrynig nållav
Gulnål
Plattlummer
Vedticka</t>
        </is>
      </c>
      <c r="S151">
        <f>HYPERLINK("https://klasma.github.io/Logging_2462/artfynd/A 37775-2023 artfynd.xlsx", "A 37775-2023")</f>
        <v/>
      </c>
      <c r="T151">
        <f>HYPERLINK("https://klasma.github.io/Logging_2462/kartor/A 37775-2023 karta.png", "A 37775-2023")</f>
        <v/>
      </c>
      <c r="V151">
        <f>HYPERLINK("https://klasma.github.io/Logging_2462/klagomål/A 37775-2023 FSC-klagomål.docx", "A 37775-2023")</f>
        <v/>
      </c>
      <c r="W151">
        <f>HYPERLINK("https://klasma.github.io/Logging_2462/klagomålsmail/A 37775-2023 FSC-klagomål mail.docx", "A 37775-2023")</f>
        <v/>
      </c>
      <c r="X151">
        <f>HYPERLINK("https://klasma.github.io/Logging_2462/tillsyn/A 37775-2023 tillsynsbegäran.docx", "A 37775-2023")</f>
        <v/>
      </c>
      <c r="Y151">
        <f>HYPERLINK("https://klasma.github.io/Logging_2462/tillsynsmail/A 37775-2023 tillsynsbegäran mail.docx", "A 37775-2023")</f>
        <v/>
      </c>
      <c r="Z151">
        <f>HYPERLINK("https://klasma.github.io/Logging_2462/fåglar/A 37775-2023 prioriterade fågelarter.docx", "A 37775-2023")</f>
        <v/>
      </c>
    </row>
    <row r="152" ht="15" customHeight="1">
      <c r="A152" t="inlineStr">
        <is>
          <t>A 21437-2024</t>
        </is>
      </c>
      <c r="B152" s="1" t="n">
        <v>45441</v>
      </c>
      <c r="C152" s="1" t="n">
        <v>45788</v>
      </c>
      <c r="D152" t="inlineStr">
        <is>
          <t>VÄSTERBOTTENS LÄN</t>
        </is>
      </c>
      <c r="E152" t="inlineStr">
        <is>
          <t>SORSELE</t>
        </is>
      </c>
      <c r="F152" t="inlineStr">
        <is>
          <t>Allmännings- och besparingsskogar</t>
        </is>
      </c>
      <c r="G152" t="n">
        <v>29.9</v>
      </c>
      <c r="H152" t="n">
        <v>4</v>
      </c>
      <c r="I152" t="n">
        <v>0</v>
      </c>
      <c r="J152" t="n">
        <v>14</v>
      </c>
      <c r="K152" t="n">
        <v>0</v>
      </c>
      <c r="L152" t="n">
        <v>0</v>
      </c>
      <c r="M152" t="n">
        <v>0</v>
      </c>
      <c r="N152" t="n">
        <v>0</v>
      </c>
      <c r="O152" t="n">
        <v>14</v>
      </c>
      <c r="P152" t="n">
        <v>0</v>
      </c>
      <c r="Q152" t="n">
        <v>14</v>
      </c>
      <c r="R152" s="2" t="inlineStr">
        <is>
          <t>Garnlav
Granticka
Gränsticka
Harticka
Kungsörn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26656-2024</t>
        </is>
      </c>
      <c r="B153" s="1" t="n">
        <v>45470</v>
      </c>
      <c r="C153" s="1" t="n">
        <v>45788</v>
      </c>
      <c r="D153" t="inlineStr">
        <is>
          <t>VÄSTERBOTTENS LÄN</t>
        </is>
      </c>
      <c r="E153" t="inlineStr">
        <is>
          <t>VILHELMINA</t>
        </is>
      </c>
      <c r="F153" t="inlineStr">
        <is>
          <t>SCA</t>
        </is>
      </c>
      <c r="G153" t="n">
        <v>3.9</v>
      </c>
      <c r="H153" t="n">
        <v>1</v>
      </c>
      <c r="I153" t="n">
        <v>7</v>
      </c>
      <c r="J153" t="n">
        <v>6</v>
      </c>
      <c r="K153" t="n">
        <v>1</v>
      </c>
      <c r="L153" t="n">
        <v>0</v>
      </c>
      <c r="M153" t="n">
        <v>0</v>
      </c>
      <c r="N153" t="n">
        <v>0</v>
      </c>
      <c r="O153" t="n">
        <v>7</v>
      </c>
      <c r="P153" t="n">
        <v>1</v>
      </c>
      <c r="Q153" t="n">
        <v>14</v>
      </c>
      <c r="R153" s="2" t="inlineStr">
        <is>
          <t>Rynkskinn
Garnlav
Gränsticka
Lunglav
Rosenticka
Spillkråka
Ullticka
Gulnål
Kornig nållav
Luddlav
Mörk husmossa
Skinnlav
Stuplav
Vedticka</t>
        </is>
      </c>
      <c r="S153">
        <f>HYPERLINK("https://klasma.github.io/Logging_2462/artfynd/A 26656-2024 artfynd.xlsx", "A 26656-2024")</f>
        <v/>
      </c>
      <c r="T153">
        <f>HYPERLINK("https://klasma.github.io/Logging_2462/kartor/A 26656-2024 karta.png", "A 26656-2024")</f>
        <v/>
      </c>
      <c r="V153">
        <f>HYPERLINK("https://klasma.github.io/Logging_2462/klagomål/A 26656-2024 FSC-klagomål.docx", "A 26656-2024")</f>
        <v/>
      </c>
      <c r="W153">
        <f>HYPERLINK("https://klasma.github.io/Logging_2462/klagomålsmail/A 26656-2024 FSC-klagomål mail.docx", "A 26656-2024")</f>
        <v/>
      </c>
      <c r="X153">
        <f>HYPERLINK("https://klasma.github.io/Logging_2462/tillsyn/A 26656-2024 tillsynsbegäran.docx", "A 26656-2024")</f>
        <v/>
      </c>
      <c r="Y153">
        <f>HYPERLINK("https://klasma.github.io/Logging_2462/tillsynsmail/A 26656-2024 tillsynsbegäran mail.docx", "A 26656-2024")</f>
        <v/>
      </c>
      <c r="Z153">
        <f>HYPERLINK("https://klasma.github.io/Logging_2462/fåglar/A 26656-2024 prioriterade fågelarter.docx", "A 26656-2024")</f>
        <v/>
      </c>
    </row>
    <row r="154" ht="15" customHeight="1">
      <c r="A154" t="inlineStr">
        <is>
          <t>A 59019-2024</t>
        </is>
      </c>
      <c r="B154" s="1" t="n">
        <v>45636</v>
      </c>
      <c r="C154" s="1" t="n">
        <v>45788</v>
      </c>
      <c r="D154" t="inlineStr">
        <is>
          <t>VÄSTERBOTTENS LÄN</t>
        </is>
      </c>
      <c r="E154" t="inlineStr">
        <is>
          <t>VILHELMINA</t>
        </is>
      </c>
      <c r="F154" t="inlineStr">
        <is>
          <t>Allmännings- och besparingsskogar</t>
        </is>
      </c>
      <c r="G154" t="n">
        <v>22.1</v>
      </c>
      <c r="H154" t="n">
        <v>3</v>
      </c>
      <c r="I154" t="n">
        <v>3</v>
      </c>
      <c r="J154" t="n">
        <v>10</v>
      </c>
      <c r="K154" t="n">
        <v>0</v>
      </c>
      <c r="L154" t="n">
        <v>0</v>
      </c>
      <c r="M154" t="n">
        <v>0</v>
      </c>
      <c r="N154" t="n">
        <v>0</v>
      </c>
      <c r="O154" t="n">
        <v>10</v>
      </c>
      <c r="P154" t="n">
        <v>0</v>
      </c>
      <c r="Q154" t="n">
        <v>14</v>
      </c>
      <c r="R154" s="2" t="inlineStr">
        <is>
          <t>Gammelgransskål
Garnlav
Granticka
Gränsticka
Harticka
Rosenticka
Tretåig hackspett
Ullticka
Vitgrynig nållav
Vitskaftad svartspik
Blodticka
Spindelblomster
Vedticka
Lavskrika</t>
        </is>
      </c>
      <c r="S154">
        <f>HYPERLINK("https://klasma.github.io/Logging_2462/artfynd/A 59019-2024 artfynd.xlsx", "A 59019-2024")</f>
        <v/>
      </c>
      <c r="T154">
        <f>HYPERLINK("https://klasma.github.io/Logging_2462/kartor/A 59019-2024 karta.png", "A 59019-2024")</f>
        <v/>
      </c>
      <c r="V154">
        <f>HYPERLINK("https://klasma.github.io/Logging_2462/klagomål/A 59019-2024 FSC-klagomål.docx", "A 59019-2024")</f>
        <v/>
      </c>
      <c r="W154">
        <f>HYPERLINK("https://klasma.github.io/Logging_2462/klagomålsmail/A 59019-2024 FSC-klagomål mail.docx", "A 59019-2024")</f>
        <v/>
      </c>
      <c r="X154">
        <f>HYPERLINK("https://klasma.github.io/Logging_2462/tillsyn/A 59019-2024 tillsynsbegäran.docx", "A 59019-2024")</f>
        <v/>
      </c>
      <c r="Y154">
        <f>HYPERLINK("https://klasma.github.io/Logging_2462/tillsynsmail/A 59019-2024 tillsynsbegäran mail.docx", "A 59019-2024")</f>
        <v/>
      </c>
      <c r="Z154">
        <f>HYPERLINK("https://klasma.github.io/Logging_2462/fåglar/A 59019-2024 prioriterade fågelarter.docx", "A 59019-2024")</f>
        <v/>
      </c>
    </row>
    <row r="155" ht="15" customHeight="1">
      <c r="A155" t="inlineStr">
        <is>
          <t>A 18315-2025</t>
        </is>
      </c>
      <c r="B155" s="1" t="n">
        <v>45762</v>
      </c>
      <c r="C155" s="1" t="n">
        <v>45788</v>
      </c>
      <c r="D155" t="inlineStr">
        <is>
          <t>VÄSTERBOTTENS LÄN</t>
        </is>
      </c>
      <c r="E155" t="inlineStr">
        <is>
          <t>ÅSELE</t>
        </is>
      </c>
      <c r="G155" t="n">
        <v>25.7</v>
      </c>
      <c r="H155" t="n">
        <v>3</v>
      </c>
      <c r="I155" t="n">
        <v>2</v>
      </c>
      <c r="J155" t="n">
        <v>10</v>
      </c>
      <c r="K155" t="n">
        <v>2</v>
      </c>
      <c r="L155" t="n">
        <v>0</v>
      </c>
      <c r="M155" t="n">
        <v>0</v>
      </c>
      <c r="N155" t="n">
        <v>0</v>
      </c>
      <c r="O155" t="n">
        <v>12</v>
      </c>
      <c r="P155" t="n">
        <v>2</v>
      </c>
      <c r="Q155" t="n">
        <v>14</v>
      </c>
      <c r="R155" s="2" t="inlineStr">
        <is>
          <t>Grantickeporing
Lappticka
Doftskinn
Granticka
Harticka
Järpe
Lunglav
Rosenticka
Skrovellav
Spillkråka
Tretåig hackspett
Ullticka
Rävticka
Stor aspticka</t>
        </is>
      </c>
      <c r="S155">
        <f>HYPERLINK("https://klasma.github.io/Logging_242463/artfynd/A 18315-2025 artfynd.xlsx", "A 18315-2025")</f>
        <v/>
      </c>
      <c r="T155">
        <f>HYPERLINK("https://klasma.github.io/Logging_242463/kartor/A 18315-2025 karta.png", "A 18315-2025")</f>
        <v/>
      </c>
      <c r="V155">
        <f>HYPERLINK("https://klasma.github.io/Logging_242463/klagomål/A 18315-2025 FSC-klagomål.docx", "A 18315-2025")</f>
        <v/>
      </c>
      <c r="W155">
        <f>HYPERLINK("https://klasma.github.io/Logging_242463/klagomålsmail/A 18315-2025 FSC-klagomål mail.docx", "A 18315-2025")</f>
        <v/>
      </c>
      <c r="X155">
        <f>HYPERLINK("https://klasma.github.io/Logging_242463/tillsyn/A 18315-2025 tillsynsbegäran.docx", "A 18315-2025")</f>
        <v/>
      </c>
      <c r="Y155">
        <f>HYPERLINK("https://klasma.github.io/Logging_242463/tillsynsmail/A 18315-2025 tillsynsbegäran mail.docx", "A 18315-2025")</f>
        <v/>
      </c>
      <c r="Z155">
        <f>HYPERLINK("https://klasma.github.io/Logging_242463/fåglar/A 18315-2025 prioriterade fågelarter.docx", "A 18315-2025")</f>
        <v/>
      </c>
    </row>
    <row r="156" ht="15" customHeight="1">
      <c r="A156" t="inlineStr">
        <is>
          <t>A 40099-2019</t>
        </is>
      </c>
      <c r="B156" s="1" t="n">
        <v>43693</v>
      </c>
      <c r="C156" s="1" t="n">
        <v>45788</v>
      </c>
      <c r="D156" t="inlineStr">
        <is>
          <t>VÄSTERBOTTENS LÄN</t>
        </is>
      </c>
      <c r="E156" t="inlineStr">
        <is>
          <t>NORDMALING</t>
        </is>
      </c>
      <c r="G156" t="n">
        <v>10</v>
      </c>
      <c r="H156" t="n">
        <v>3</v>
      </c>
      <c r="I156" t="n">
        <v>6</v>
      </c>
      <c r="J156" t="n">
        <v>7</v>
      </c>
      <c r="K156" t="n">
        <v>0</v>
      </c>
      <c r="L156" t="n">
        <v>0</v>
      </c>
      <c r="M156" t="n">
        <v>0</v>
      </c>
      <c r="N156" t="n">
        <v>0</v>
      </c>
      <c r="O156" t="n">
        <v>7</v>
      </c>
      <c r="P156" t="n">
        <v>0</v>
      </c>
      <c r="Q156" t="n">
        <v>13</v>
      </c>
      <c r="R156" s="2" t="inlineStr">
        <is>
          <t>Garnlav
Granticka
Järpe
Lunglav
Talltita
Tretåig hackspett
Ullticka
Bårdlav
Korallblylav
Skinnlav
Stor aspticka
Stuplav
Vedticka</t>
        </is>
      </c>
      <c r="S156">
        <f>HYPERLINK("https://klasma.github.io/Logging_2401/artfynd/A 40099-2019 artfynd.xlsx", "A 40099-2019")</f>
        <v/>
      </c>
      <c r="T156">
        <f>HYPERLINK("https://klasma.github.io/Logging_2401/kartor/A 40099-2019 karta.png", "A 40099-2019")</f>
        <v/>
      </c>
      <c r="V156">
        <f>HYPERLINK("https://klasma.github.io/Logging_2401/klagomål/A 40099-2019 FSC-klagomål.docx", "A 40099-2019")</f>
        <v/>
      </c>
      <c r="W156">
        <f>HYPERLINK("https://klasma.github.io/Logging_2401/klagomålsmail/A 40099-2019 FSC-klagomål mail.docx", "A 40099-2019")</f>
        <v/>
      </c>
      <c r="X156">
        <f>HYPERLINK("https://klasma.github.io/Logging_2401/tillsyn/A 40099-2019 tillsynsbegäran.docx", "A 40099-2019")</f>
        <v/>
      </c>
      <c r="Y156">
        <f>HYPERLINK("https://klasma.github.io/Logging_2401/tillsynsmail/A 40099-2019 tillsynsbegäran mail.docx", "A 40099-2019")</f>
        <v/>
      </c>
      <c r="Z156">
        <f>HYPERLINK("https://klasma.github.io/Logging_2401/fåglar/A 40099-2019 prioriterade fågelarter.docx", "A 40099-2019")</f>
        <v/>
      </c>
    </row>
    <row r="157" ht="15" customHeight="1">
      <c r="A157" t="inlineStr">
        <is>
          <t>A 49602-2019</t>
        </is>
      </c>
      <c r="B157" s="1" t="n">
        <v>43732</v>
      </c>
      <c r="C157" s="1" t="n">
        <v>45788</v>
      </c>
      <c r="D157" t="inlineStr">
        <is>
          <t>VÄSTERBOTTENS LÄN</t>
        </is>
      </c>
      <c r="E157" t="inlineStr">
        <is>
          <t>STORUMAN</t>
        </is>
      </c>
      <c r="F157" t="inlineStr">
        <is>
          <t>Sveaskog</t>
        </is>
      </c>
      <c r="G157" t="n">
        <v>3.7</v>
      </c>
      <c r="H157" t="n">
        <v>2</v>
      </c>
      <c r="I157" t="n">
        <v>1</v>
      </c>
      <c r="J157" t="n">
        <v>9</v>
      </c>
      <c r="K157" t="n">
        <v>1</v>
      </c>
      <c r="L157" t="n">
        <v>0</v>
      </c>
      <c r="M157" t="n">
        <v>0</v>
      </c>
      <c r="N157" t="n">
        <v>0</v>
      </c>
      <c r="O157" t="n">
        <v>10</v>
      </c>
      <c r="P157" t="n">
        <v>1</v>
      </c>
      <c r="Q157" t="n">
        <v>13</v>
      </c>
      <c r="R157" s="2" t="inlineStr">
        <is>
          <t>Lunglavsknapp
Blanksvart spiklav
Blågrå svartspik
Dvärgbägarlav
Gammelgransskål
Lunglav
Mörk kolflarnlav
Vedflamlav
Vedskivlav
Vitgrynig nållav
Stuplav
Vanlig padda
Fläcknycklar</t>
        </is>
      </c>
      <c r="S157">
        <f>HYPERLINK("https://klasma.github.io/Logging_2421/artfynd/A 49602-2019 artfynd.xlsx", "A 49602-2019")</f>
        <v/>
      </c>
      <c r="T157">
        <f>HYPERLINK("https://klasma.github.io/Logging_2421/kartor/A 49602-2019 karta.png", "A 49602-2019")</f>
        <v/>
      </c>
      <c r="V157">
        <f>HYPERLINK("https://klasma.github.io/Logging_2421/klagomål/A 49602-2019 FSC-klagomål.docx", "A 49602-2019")</f>
        <v/>
      </c>
      <c r="W157">
        <f>HYPERLINK("https://klasma.github.io/Logging_2421/klagomålsmail/A 49602-2019 FSC-klagomål mail.docx", "A 49602-2019")</f>
        <v/>
      </c>
      <c r="X157">
        <f>HYPERLINK("https://klasma.github.io/Logging_2421/tillsyn/A 49602-2019 tillsynsbegäran.docx", "A 49602-2019")</f>
        <v/>
      </c>
      <c r="Y157">
        <f>HYPERLINK("https://klasma.github.io/Logging_2421/tillsynsmail/A 49602-2019 tillsynsbegäran mail.docx", "A 49602-2019")</f>
        <v/>
      </c>
    </row>
    <row r="158" ht="15" customHeight="1">
      <c r="A158" t="inlineStr">
        <is>
          <t>A 42617-2020</t>
        </is>
      </c>
      <c r="B158" s="1" t="n">
        <v>44077</v>
      </c>
      <c r="C158" s="1" t="n">
        <v>45788</v>
      </c>
      <c r="D158" t="inlineStr">
        <is>
          <t>VÄSTERBOTTENS LÄN</t>
        </is>
      </c>
      <c r="E158" t="inlineStr">
        <is>
          <t>STORUMAN</t>
        </is>
      </c>
      <c r="G158" t="n">
        <v>17</v>
      </c>
      <c r="H158" t="n">
        <v>0</v>
      </c>
      <c r="I158" t="n">
        <v>4</v>
      </c>
      <c r="J158" t="n">
        <v>8</v>
      </c>
      <c r="K158" t="n">
        <v>1</v>
      </c>
      <c r="L158" t="n">
        <v>0</v>
      </c>
      <c r="M158" t="n">
        <v>0</v>
      </c>
      <c r="N158" t="n">
        <v>0</v>
      </c>
      <c r="O158" t="n">
        <v>9</v>
      </c>
      <c r="P158" t="n">
        <v>1</v>
      </c>
      <c r="Q158" t="n">
        <v>13</v>
      </c>
      <c r="R158" s="2" t="inlineStr">
        <is>
          <t>Rynkskinn
Doftskinn
Garnlav
Granticka
Gränsticka
Harticka
Rosenticka
Skrovellav
Ullticka
Bårdlav
Luddlav
Stuplav
Trådticka</t>
        </is>
      </c>
      <c r="S158">
        <f>HYPERLINK("https://klasma.github.io/Logging_2421/artfynd/A 42617-2020 artfynd.xlsx", "A 42617-2020")</f>
        <v/>
      </c>
      <c r="T158">
        <f>HYPERLINK("https://klasma.github.io/Logging_2421/kartor/A 42617-2020 karta.png", "A 42617-2020")</f>
        <v/>
      </c>
      <c r="V158">
        <f>HYPERLINK("https://klasma.github.io/Logging_2421/klagomål/A 42617-2020 FSC-klagomål.docx", "A 42617-2020")</f>
        <v/>
      </c>
      <c r="W158">
        <f>HYPERLINK("https://klasma.github.io/Logging_2421/klagomålsmail/A 42617-2020 FSC-klagomål mail.docx", "A 42617-2020")</f>
        <v/>
      </c>
      <c r="X158">
        <f>HYPERLINK("https://klasma.github.io/Logging_2421/tillsyn/A 42617-2020 tillsynsbegäran.docx", "A 42617-2020")</f>
        <v/>
      </c>
      <c r="Y158">
        <f>HYPERLINK("https://klasma.github.io/Logging_2421/tillsynsmail/A 42617-2020 tillsynsbegäran mail.docx", "A 42617-2020")</f>
        <v/>
      </c>
    </row>
    <row r="159" ht="15" customHeight="1">
      <c r="A159" t="inlineStr">
        <is>
          <t>A 43929-2020</t>
        </is>
      </c>
      <c r="B159" s="1" t="n">
        <v>44078</v>
      </c>
      <c r="C159" s="1" t="n">
        <v>45788</v>
      </c>
      <c r="D159" t="inlineStr">
        <is>
          <t>VÄSTERBOTTENS LÄN</t>
        </is>
      </c>
      <c r="E159" t="inlineStr">
        <is>
          <t>STORUMAN</t>
        </is>
      </c>
      <c r="F159" t="inlineStr">
        <is>
          <t>Allmännings- och besparingsskogar</t>
        </is>
      </c>
      <c r="G159" t="n">
        <v>53.6</v>
      </c>
      <c r="H159" t="n">
        <v>0</v>
      </c>
      <c r="I159" t="n">
        <v>3</v>
      </c>
      <c r="J159" t="n">
        <v>9</v>
      </c>
      <c r="K159" t="n">
        <v>1</v>
      </c>
      <c r="L159" t="n">
        <v>0</v>
      </c>
      <c r="M159" t="n">
        <v>0</v>
      </c>
      <c r="N159" t="n">
        <v>0</v>
      </c>
      <c r="O159" t="n">
        <v>10</v>
      </c>
      <c r="P159" t="n">
        <v>1</v>
      </c>
      <c r="Q159" t="n">
        <v>13</v>
      </c>
      <c r="R159" s="2" t="inlineStr">
        <is>
          <t>Rynkskinn
Doftskinn
Garnlav
Granticka
Gränsticka
Knottrig blåslav
Rosenticka
Rödbrun blekspik
Skrovellav
Ullticka
Blodticka
Trådticka
Vedticka</t>
        </is>
      </c>
      <c r="S159">
        <f>HYPERLINK("https://klasma.github.io/Logging_2421/artfynd/A 43929-2020 artfynd.xlsx", "A 43929-2020")</f>
        <v/>
      </c>
      <c r="T159">
        <f>HYPERLINK("https://klasma.github.io/Logging_2421/kartor/A 43929-2020 karta.png", "A 43929-2020")</f>
        <v/>
      </c>
      <c r="V159">
        <f>HYPERLINK("https://klasma.github.io/Logging_2421/klagomål/A 43929-2020 FSC-klagomål.docx", "A 43929-2020")</f>
        <v/>
      </c>
      <c r="W159">
        <f>HYPERLINK("https://klasma.github.io/Logging_2421/klagomålsmail/A 43929-2020 FSC-klagomål mail.docx", "A 43929-2020")</f>
        <v/>
      </c>
      <c r="X159">
        <f>HYPERLINK("https://klasma.github.io/Logging_2421/tillsyn/A 43929-2020 tillsynsbegäran.docx", "A 43929-2020")</f>
        <v/>
      </c>
      <c r="Y159">
        <f>HYPERLINK("https://klasma.github.io/Logging_2421/tillsynsmail/A 43929-2020 tillsynsbegäran mail.docx", "A 43929-2020")</f>
        <v/>
      </c>
    </row>
    <row r="160" ht="15" customHeight="1">
      <c r="A160" t="inlineStr">
        <is>
          <t>A 43915-2020</t>
        </is>
      </c>
      <c r="B160" s="1" t="n">
        <v>44078</v>
      </c>
      <c r="C160" s="1" t="n">
        <v>45788</v>
      </c>
      <c r="D160" t="inlineStr">
        <is>
          <t>VÄSTERBOTTENS LÄN</t>
        </is>
      </c>
      <c r="E160" t="inlineStr">
        <is>
          <t>STORUMAN</t>
        </is>
      </c>
      <c r="F160" t="inlineStr">
        <is>
          <t>Allmännings- och besparingsskogar</t>
        </is>
      </c>
      <c r="G160" t="n">
        <v>220.8</v>
      </c>
      <c r="H160" t="n">
        <v>1</v>
      </c>
      <c r="I160" t="n">
        <v>3</v>
      </c>
      <c r="J160" t="n">
        <v>10</v>
      </c>
      <c r="K160" t="n">
        <v>0</v>
      </c>
      <c r="L160" t="n">
        <v>0</v>
      </c>
      <c r="M160" t="n">
        <v>0</v>
      </c>
      <c r="N160" t="n">
        <v>0</v>
      </c>
      <c r="O160" t="n">
        <v>10</v>
      </c>
      <c r="P160" t="n">
        <v>0</v>
      </c>
      <c r="Q160" t="n">
        <v>13</v>
      </c>
      <c r="R160" s="2" t="inlineStr">
        <is>
          <t>Garnlav
Granticka
Gränsticka
Harticka
Knottrig blåslav
Lunglav
Rosenticka
Skrovellav
Tretåig hackspett
Ullticka
Bårdlav
Luddlav
Stuplav</t>
        </is>
      </c>
      <c r="S160">
        <f>HYPERLINK("https://klasma.github.io/Logging_2421/artfynd/A 43915-2020 artfynd.xlsx", "A 43915-2020")</f>
        <v/>
      </c>
      <c r="T160">
        <f>HYPERLINK("https://klasma.github.io/Logging_2421/kartor/A 43915-2020 karta.png", "A 43915-2020")</f>
        <v/>
      </c>
      <c r="V160">
        <f>HYPERLINK("https://klasma.github.io/Logging_2421/klagomål/A 43915-2020 FSC-klagomål.docx", "A 43915-2020")</f>
        <v/>
      </c>
      <c r="W160">
        <f>HYPERLINK("https://klasma.github.io/Logging_2421/klagomålsmail/A 43915-2020 FSC-klagomål mail.docx", "A 43915-2020")</f>
        <v/>
      </c>
      <c r="X160">
        <f>HYPERLINK("https://klasma.github.io/Logging_2421/tillsyn/A 43915-2020 tillsynsbegäran.docx", "A 43915-2020")</f>
        <v/>
      </c>
      <c r="Y160">
        <f>HYPERLINK("https://klasma.github.io/Logging_2421/tillsynsmail/A 43915-2020 tillsynsbegäran mail.docx", "A 43915-2020")</f>
        <v/>
      </c>
      <c r="Z160">
        <f>HYPERLINK("https://klasma.github.io/Logging_2421/fåglar/A 43915-2020 prioriterade fågelarter.docx", "A 43915-2020")</f>
        <v/>
      </c>
    </row>
    <row r="161" ht="15" customHeight="1">
      <c r="A161" t="inlineStr">
        <is>
          <t>A 55586-2020</t>
        </is>
      </c>
      <c r="B161" s="1" t="n">
        <v>44131</v>
      </c>
      <c r="C161" s="1" t="n">
        <v>45788</v>
      </c>
      <c r="D161" t="inlineStr">
        <is>
          <t>VÄSTERBOTTENS LÄN</t>
        </is>
      </c>
      <c r="E161" t="inlineStr">
        <is>
          <t>SKELLEFTEÅ</t>
        </is>
      </c>
      <c r="F161" t="inlineStr">
        <is>
          <t>Sveaskog</t>
        </is>
      </c>
      <c r="G161" t="n">
        <v>10.3</v>
      </c>
      <c r="H161" t="n">
        <v>5</v>
      </c>
      <c r="I161" t="n">
        <v>3</v>
      </c>
      <c r="J161" t="n">
        <v>6</v>
      </c>
      <c r="K161" t="n">
        <v>1</v>
      </c>
      <c r="L161" t="n">
        <v>0</v>
      </c>
      <c r="M161" t="n">
        <v>0</v>
      </c>
      <c r="N161" t="n">
        <v>0</v>
      </c>
      <c r="O161" t="n">
        <v>7</v>
      </c>
      <c r="P161" t="n">
        <v>1</v>
      </c>
      <c r="Q161" t="n">
        <v>13</v>
      </c>
      <c r="R161" s="2" t="inlineStr">
        <is>
          <t>Knärot
Blå taggsvamp
Järpe
Kolflarnlav
Motaggsvamp
Mörk kolflarnlav
Orange taggsvamp
Blomkålssvamp
Dropptaggsvamp
Skarp dropptaggsvamp
Gråspett
Lavskrika
Tjäder</t>
        </is>
      </c>
      <c r="S161">
        <f>HYPERLINK("https://klasma.github.io/Logging_2482/artfynd/A 55586-2020 artfynd.xlsx", "A 55586-2020")</f>
        <v/>
      </c>
      <c r="T161">
        <f>HYPERLINK("https://klasma.github.io/Logging_2482/kartor/A 55586-2020 karta.png", "A 55586-2020")</f>
        <v/>
      </c>
      <c r="U161">
        <f>HYPERLINK("https://klasma.github.io/Logging_2482/knärot/A 55586-2020 karta knärot.png", "A 55586-2020")</f>
        <v/>
      </c>
      <c r="V161">
        <f>HYPERLINK("https://klasma.github.io/Logging_2482/klagomål/A 55586-2020 FSC-klagomål.docx", "A 55586-2020")</f>
        <v/>
      </c>
      <c r="W161">
        <f>HYPERLINK("https://klasma.github.io/Logging_2482/klagomålsmail/A 55586-2020 FSC-klagomål mail.docx", "A 55586-2020")</f>
        <v/>
      </c>
      <c r="X161">
        <f>HYPERLINK("https://klasma.github.io/Logging_2482/tillsyn/A 55586-2020 tillsynsbegäran.docx", "A 55586-2020")</f>
        <v/>
      </c>
      <c r="Y161">
        <f>HYPERLINK("https://klasma.github.io/Logging_2482/tillsynsmail/A 55586-2020 tillsynsbegäran mail.docx", "A 55586-2020")</f>
        <v/>
      </c>
      <c r="Z161">
        <f>HYPERLINK("https://klasma.github.io/Logging_2482/fåglar/A 55586-2020 prioriterade fågelarter.docx", "A 55586-2020")</f>
        <v/>
      </c>
    </row>
    <row r="162" ht="15" customHeight="1">
      <c r="A162" t="inlineStr">
        <is>
          <t>A 26728-2021</t>
        </is>
      </c>
      <c r="B162" s="1" t="n">
        <v>44349</v>
      </c>
      <c r="C162" s="1" t="n">
        <v>45788</v>
      </c>
      <c r="D162" t="inlineStr">
        <is>
          <t>VÄSTERBOTTENS LÄN</t>
        </is>
      </c>
      <c r="E162" t="inlineStr">
        <is>
          <t>SKELLEFTEÅ</t>
        </is>
      </c>
      <c r="G162" t="n">
        <v>9.9</v>
      </c>
      <c r="H162" t="n">
        <v>3</v>
      </c>
      <c r="I162" t="n">
        <v>7</v>
      </c>
      <c r="J162" t="n">
        <v>3</v>
      </c>
      <c r="K162" t="n">
        <v>2</v>
      </c>
      <c r="L162" t="n">
        <v>0</v>
      </c>
      <c r="M162" t="n">
        <v>0</v>
      </c>
      <c r="N162" t="n">
        <v>0</v>
      </c>
      <c r="O162" t="n">
        <v>5</v>
      </c>
      <c r="P162" t="n">
        <v>2</v>
      </c>
      <c r="Q162" t="n">
        <v>13</v>
      </c>
      <c r="R162" s="2" t="inlineStr">
        <is>
          <t>Knärot
Norna
Garnlav
Persiljespindling
Tallticka
Dropptaggsvamp
Kryddspindling
Rödgul trumpetsvamp
Skarp dropptaggsvamp
Svart trolldruva
Svavelriska
Tibast
Nattviol</t>
        </is>
      </c>
      <c r="S162">
        <f>HYPERLINK("https://klasma.github.io/Logging_2482/artfynd/A 26728-2021 artfynd.xlsx", "A 26728-2021")</f>
        <v/>
      </c>
      <c r="T162">
        <f>HYPERLINK("https://klasma.github.io/Logging_2482/kartor/A 26728-2021 karta.png", "A 26728-2021")</f>
        <v/>
      </c>
      <c r="U162">
        <f>HYPERLINK("https://klasma.github.io/Logging_2482/knärot/A 26728-2021 karta knärot.png", "A 26728-2021")</f>
        <v/>
      </c>
      <c r="V162">
        <f>HYPERLINK("https://klasma.github.io/Logging_2482/klagomål/A 26728-2021 FSC-klagomål.docx", "A 26728-2021")</f>
        <v/>
      </c>
      <c r="W162">
        <f>HYPERLINK("https://klasma.github.io/Logging_2482/klagomålsmail/A 26728-2021 FSC-klagomål mail.docx", "A 26728-2021")</f>
        <v/>
      </c>
      <c r="X162">
        <f>HYPERLINK("https://klasma.github.io/Logging_2482/tillsyn/A 26728-2021 tillsynsbegäran.docx", "A 26728-2021")</f>
        <v/>
      </c>
      <c r="Y162">
        <f>HYPERLINK("https://klasma.github.io/Logging_2482/tillsynsmail/A 26728-2021 tillsynsbegäran mail.docx", "A 26728-2021")</f>
        <v/>
      </c>
    </row>
    <row r="163" ht="15" customHeight="1">
      <c r="A163" t="inlineStr">
        <is>
          <t>A 34681-2021</t>
        </is>
      </c>
      <c r="B163" s="1" t="n">
        <v>44382</v>
      </c>
      <c r="C163" s="1" t="n">
        <v>45788</v>
      </c>
      <c r="D163" t="inlineStr">
        <is>
          <t>VÄSTERBOTTENS LÄN</t>
        </is>
      </c>
      <c r="E163" t="inlineStr">
        <is>
          <t>STORUMAN</t>
        </is>
      </c>
      <c r="G163" t="n">
        <v>20.9</v>
      </c>
      <c r="H163" t="n">
        <v>1</v>
      </c>
      <c r="I163" t="n">
        <v>4</v>
      </c>
      <c r="J163" t="n">
        <v>8</v>
      </c>
      <c r="K163" t="n">
        <v>1</v>
      </c>
      <c r="L163" t="n">
        <v>0</v>
      </c>
      <c r="M163" t="n">
        <v>0</v>
      </c>
      <c r="N163" t="n">
        <v>0</v>
      </c>
      <c r="O163" t="n">
        <v>9</v>
      </c>
      <c r="P163" t="n">
        <v>1</v>
      </c>
      <c r="Q163" t="n">
        <v>13</v>
      </c>
      <c r="R163" s="2" t="inlineStr">
        <is>
          <t>Ostticka
Gammelgransskål
Garnlav
Granticka
Gränsticka
Rosenticka
Skrovellav
Ullticka
Violmussling
Bårdlav
Spindelblomster
Stuplav
Ögonpyrola</t>
        </is>
      </c>
      <c r="S163">
        <f>HYPERLINK("https://klasma.github.io/Logging_2421/artfynd/A 34681-2021 artfynd.xlsx", "A 34681-2021")</f>
        <v/>
      </c>
      <c r="T163">
        <f>HYPERLINK("https://klasma.github.io/Logging_2421/kartor/A 34681-2021 karta.png", "A 34681-2021")</f>
        <v/>
      </c>
      <c r="V163">
        <f>HYPERLINK("https://klasma.github.io/Logging_2421/klagomål/A 34681-2021 FSC-klagomål.docx", "A 34681-2021")</f>
        <v/>
      </c>
      <c r="W163">
        <f>HYPERLINK("https://klasma.github.io/Logging_2421/klagomålsmail/A 34681-2021 FSC-klagomål mail.docx", "A 34681-2021")</f>
        <v/>
      </c>
      <c r="X163">
        <f>HYPERLINK("https://klasma.github.io/Logging_2421/tillsyn/A 34681-2021 tillsynsbegäran.docx", "A 34681-2021")</f>
        <v/>
      </c>
      <c r="Y163">
        <f>HYPERLINK("https://klasma.github.io/Logging_2421/tillsynsmail/A 34681-2021 tillsynsbegäran mail.docx", "A 34681-2021")</f>
        <v/>
      </c>
    </row>
    <row r="164" ht="15" customHeight="1">
      <c r="A164" t="inlineStr">
        <is>
          <t>A 42138-2021</t>
        </is>
      </c>
      <c r="B164" s="1" t="n">
        <v>44426</v>
      </c>
      <c r="C164" s="1" t="n">
        <v>45788</v>
      </c>
      <c r="D164" t="inlineStr">
        <is>
          <t>VÄSTERBOTTENS LÄN</t>
        </is>
      </c>
      <c r="E164" t="inlineStr">
        <is>
          <t>SORSELE</t>
        </is>
      </c>
      <c r="G164" t="n">
        <v>20</v>
      </c>
      <c r="H164" t="n">
        <v>2</v>
      </c>
      <c r="I164" t="n">
        <v>6</v>
      </c>
      <c r="J164" t="n">
        <v>6</v>
      </c>
      <c r="K164" t="n">
        <v>0</v>
      </c>
      <c r="L164" t="n">
        <v>0</v>
      </c>
      <c r="M164" t="n">
        <v>0</v>
      </c>
      <c r="N164" t="n">
        <v>0</v>
      </c>
      <c r="O164" t="n">
        <v>6</v>
      </c>
      <c r="P164" t="n">
        <v>0</v>
      </c>
      <c r="Q164" t="n">
        <v>13</v>
      </c>
      <c r="R164" s="2" t="inlineStr">
        <is>
          <t>Blanksvart spiklav
Knottrig blåslav
Rosenticka
Rödbrun blekspik
Tallticka
Talltita
Bårdlav
Luddlav
Norrlandslav
Nästlav
Skinnlav
Stuplav
Revlummer</t>
        </is>
      </c>
      <c r="S164">
        <f>HYPERLINK("https://klasma.github.io/Logging_2422/artfynd/A 42138-2021 artfynd.xlsx", "A 42138-2021")</f>
        <v/>
      </c>
      <c r="T164">
        <f>HYPERLINK("https://klasma.github.io/Logging_2422/kartor/A 42138-2021 karta.png", "A 42138-2021")</f>
        <v/>
      </c>
      <c r="V164">
        <f>HYPERLINK("https://klasma.github.io/Logging_2422/klagomål/A 42138-2021 FSC-klagomål.docx", "A 42138-2021")</f>
        <v/>
      </c>
      <c r="W164">
        <f>HYPERLINK("https://klasma.github.io/Logging_2422/klagomålsmail/A 42138-2021 FSC-klagomål mail.docx", "A 42138-2021")</f>
        <v/>
      </c>
      <c r="X164">
        <f>HYPERLINK("https://klasma.github.io/Logging_2422/tillsyn/A 42138-2021 tillsynsbegäran.docx", "A 42138-2021")</f>
        <v/>
      </c>
      <c r="Y164">
        <f>HYPERLINK("https://klasma.github.io/Logging_2422/tillsynsmail/A 42138-2021 tillsynsbegäran mail.docx", "A 42138-2021")</f>
        <v/>
      </c>
      <c r="Z164">
        <f>HYPERLINK("https://klasma.github.io/Logging_2422/fåglar/A 42138-2021 prioriterade fågelarter.docx", "A 42138-2021")</f>
        <v/>
      </c>
    </row>
    <row r="165" ht="15" customHeight="1">
      <c r="A165" t="inlineStr">
        <is>
          <t>A 28699-2022</t>
        </is>
      </c>
      <c r="B165" s="1" t="n">
        <v>44748</v>
      </c>
      <c r="C165" s="1" t="n">
        <v>45788</v>
      </c>
      <c r="D165" t="inlineStr">
        <is>
          <t>VÄSTERBOTTENS LÄN</t>
        </is>
      </c>
      <c r="E165" t="inlineStr">
        <is>
          <t>LYCKSELE</t>
        </is>
      </c>
      <c r="F165" t="inlineStr">
        <is>
          <t>Sveaskog</t>
        </is>
      </c>
      <c r="G165" t="n">
        <v>7.3</v>
      </c>
      <c r="H165" t="n">
        <v>6</v>
      </c>
      <c r="I165" t="n">
        <v>6</v>
      </c>
      <c r="J165" t="n">
        <v>6</v>
      </c>
      <c r="K165" t="n">
        <v>0</v>
      </c>
      <c r="L165" t="n">
        <v>0</v>
      </c>
      <c r="M165" t="n">
        <v>0</v>
      </c>
      <c r="N165" t="n">
        <v>0</v>
      </c>
      <c r="O165" t="n">
        <v>6</v>
      </c>
      <c r="P165" t="n">
        <v>0</v>
      </c>
      <c r="Q165" t="n">
        <v>13</v>
      </c>
      <c r="R165" s="2" t="inlineStr">
        <is>
          <t>Gammelgransskål
Garnlav
Järpe
Spillkråka
Talltita
Vitgrynig nållav
Luddlav
Norrlandslav
Plattlummer
Spindelblomster
Stuplav
Tibast
Revlummer</t>
        </is>
      </c>
      <c r="S165">
        <f>HYPERLINK("https://klasma.github.io/Logging_2481/artfynd/A 28699-2022 artfynd.xlsx", "A 28699-2022")</f>
        <v/>
      </c>
      <c r="T165">
        <f>HYPERLINK("https://klasma.github.io/Logging_2481/kartor/A 28699-2022 karta.png", "A 28699-2022")</f>
        <v/>
      </c>
      <c r="V165">
        <f>HYPERLINK("https://klasma.github.io/Logging_2481/klagomål/A 28699-2022 FSC-klagomål.docx", "A 28699-2022")</f>
        <v/>
      </c>
      <c r="W165">
        <f>HYPERLINK("https://klasma.github.io/Logging_2481/klagomålsmail/A 28699-2022 FSC-klagomål mail.docx", "A 28699-2022")</f>
        <v/>
      </c>
      <c r="X165">
        <f>HYPERLINK("https://klasma.github.io/Logging_2481/tillsyn/A 28699-2022 tillsynsbegäran.docx", "A 28699-2022")</f>
        <v/>
      </c>
      <c r="Y165">
        <f>HYPERLINK("https://klasma.github.io/Logging_2481/tillsynsmail/A 28699-2022 tillsynsbegäran mail.docx", "A 28699-2022")</f>
        <v/>
      </c>
      <c r="Z165">
        <f>HYPERLINK("https://klasma.github.io/Logging_2481/fåglar/A 28699-2022 prioriterade fågelarter.docx", "A 28699-2022")</f>
        <v/>
      </c>
    </row>
    <row r="166" ht="15" customHeight="1">
      <c r="A166" t="inlineStr">
        <is>
          <t>A 45782-2022</t>
        </is>
      </c>
      <c r="B166" s="1" t="n">
        <v>44838</v>
      </c>
      <c r="C166" s="1" t="n">
        <v>45788</v>
      </c>
      <c r="D166" t="inlineStr">
        <is>
          <t>VÄSTERBOTTENS LÄN</t>
        </is>
      </c>
      <c r="E166" t="inlineStr">
        <is>
          <t>VILHELMINA</t>
        </is>
      </c>
      <c r="F166" t="inlineStr">
        <is>
          <t>Allmännings- och besparingsskogar</t>
        </is>
      </c>
      <c r="G166" t="n">
        <v>16.2</v>
      </c>
      <c r="H166" t="n">
        <v>1</v>
      </c>
      <c r="I166" t="n">
        <v>1</v>
      </c>
      <c r="J166" t="n">
        <v>11</v>
      </c>
      <c r="K166" t="n">
        <v>1</v>
      </c>
      <c r="L166" t="n">
        <v>0</v>
      </c>
      <c r="M166" t="n">
        <v>0</v>
      </c>
      <c r="N166" t="n">
        <v>0</v>
      </c>
      <c r="O166" t="n">
        <v>12</v>
      </c>
      <c r="P166" t="n">
        <v>1</v>
      </c>
      <c r="Q166" t="n">
        <v>13</v>
      </c>
      <c r="R166" s="2" t="inlineStr">
        <is>
          <t>Tajgaskinn
Brunpudrad nållav
Doftskinn
Garnlav
Granticka
Gränsticka
Harticka
Knottrig blåslav
Rödbrun blekspik
Tretåig hackspett
Vitgrynig nållav
Vitskaftad svartspik
Kornig nållav</t>
        </is>
      </c>
      <c r="S166">
        <f>HYPERLINK("https://klasma.github.io/Logging_2462/artfynd/A 45782-2022 artfynd.xlsx", "A 45782-2022")</f>
        <v/>
      </c>
      <c r="T166">
        <f>HYPERLINK("https://klasma.github.io/Logging_2462/kartor/A 45782-2022 karta.png", "A 45782-2022")</f>
        <v/>
      </c>
      <c r="V166">
        <f>HYPERLINK("https://klasma.github.io/Logging_2462/klagomål/A 45782-2022 FSC-klagomål.docx", "A 45782-2022")</f>
        <v/>
      </c>
      <c r="W166">
        <f>HYPERLINK("https://klasma.github.io/Logging_2462/klagomålsmail/A 45782-2022 FSC-klagomål mail.docx", "A 45782-2022")</f>
        <v/>
      </c>
      <c r="X166">
        <f>HYPERLINK("https://klasma.github.io/Logging_2462/tillsyn/A 45782-2022 tillsynsbegäran.docx", "A 45782-2022")</f>
        <v/>
      </c>
      <c r="Y166">
        <f>HYPERLINK("https://klasma.github.io/Logging_2462/tillsynsmail/A 45782-2022 tillsynsbegäran mail.docx", "A 45782-2022")</f>
        <v/>
      </c>
      <c r="Z166">
        <f>HYPERLINK("https://klasma.github.io/Logging_2462/fåglar/A 45782-2022 prioriterade fågelarter.docx", "A 45782-2022")</f>
        <v/>
      </c>
    </row>
    <row r="167" ht="15" customHeight="1">
      <c r="A167" t="inlineStr">
        <is>
          <t>A 58596-2022</t>
        </is>
      </c>
      <c r="B167" s="1" t="n">
        <v>44902</v>
      </c>
      <c r="C167" s="1" t="n">
        <v>45788</v>
      </c>
      <c r="D167" t="inlineStr">
        <is>
          <t>VÄSTERBOTTENS LÄN</t>
        </is>
      </c>
      <c r="E167" t="inlineStr">
        <is>
          <t>LYCKSELE</t>
        </is>
      </c>
      <c r="F167" t="inlineStr">
        <is>
          <t>Sveaskog</t>
        </is>
      </c>
      <c r="G167" t="n">
        <v>2.9</v>
      </c>
      <c r="H167" t="n">
        <v>1</v>
      </c>
      <c r="I167" t="n">
        <v>7</v>
      </c>
      <c r="J167" t="n">
        <v>6</v>
      </c>
      <c r="K167" t="n">
        <v>0</v>
      </c>
      <c r="L167" t="n">
        <v>0</v>
      </c>
      <c r="M167" t="n">
        <v>0</v>
      </c>
      <c r="N167" t="n">
        <v>0</v>
      </c>
      <c r="O167" t="n">
        <v>6</v>
      </c>
      <c r="P167" t="n">
        <v>0</v>
      </c>
      <c r="Q167" t="n">
        <v>13</v>
      </c>
      <c r="R167" s="2" t="inlineStr">
        <is>
          <t>Garnlav
Kolflarnlav
Lunglav
Skrovellav
Spillkråka
Vaddporing
Bårdlav
Dropptaggsvamp
Kornig nållav
Luddlav
Skinnlav
Stuplav
Vedticka</t>
        </is>
      </c>
      <c r="S167">
        <f>HYPERLINK("https://klasma.github.io/Logging_2481/artfynd/A 58596-2022 artfynd.xlsx", "A 58596-2022")</f>
        <v/>
      </c>
      <c r="T167">
        <f>HYPERLINK("https://klasma.github.io/Logging_2481/kartor/A 58596-2022 karta.png", "A 58596-2022")</f>
        <v/>
      </c>
      <c r="V167">
        <f>HYPERLINK("https://klasma.github.io/Logging_2481/klagomål/A 58596-2022 FSC-klagomål.docx", "A 58596-2022")</f>
        <v/>
      </c>
      <c r="W167">
        <f>HYPERLINK("https://klasma.github.io/Logging_2481/klagomålsmail/A 58596-2022 FSC-klagomål mail.docx", "A 58596-2022")</f>
        <v/>
      </c>
      <c r="X167">
        <f>HYPERLINK("https://klasma.github.io/Logging_2481/tillsyn/A 58596-2022 tillsynsbegäran.docx", "A 58596-2022")</f>
        <v/>
      </c>
      <c r="Y167">
        <f>HYPERLINK("https://klasma.github.io/Logging_2481/tillsynsmail/A 58596-2022 tillsynsbegäran mail.docx", "A 58596-2022")</f>
        <v/>
      </c>
      <c r="Z167">
        <f>HYPERLINK("https://klasma.github.io/Logging_2481/fåglar/A 58596-2022 prioriterade fågelarter.docx", "A 58596-2022")</f>
        <v/>
      </c>
    </row>
    <row r="168" ht="15" customHeight="1">
      <c r="A168" t="inlineStr">
        <is>
          <t>A 12261-2023</t>
        </is>
      </c>
      <c r="B168" s="1" t="n">
        <v>44995</v>
      </c>
      <c r="C168" s="1" t="n">
        <v>45788</v>
      </c>
      <c r="D168" t="inlineStr">
        <is>
          <t>VÄSTERBOTTENS LÄN</t>
        </is>
      </c>
      <c r="E168" t="inlineStr">
        <is>
          <t>STORUMAN</t>
        </is>
      </c>
      <c r="F168" t="inlineStr">
        <is>
          <t>Allmännings- och besparingsskogar</t>
        </is>
      </c>
      <c r="G168" t="n">
        <v>880</v>
      </c>
      <c r="H168" t="n">
        <v>1</v>
      </c>
      <c r="I168" t="n">
        <v>3</v>
      </c>
      <c r="J168" t="n">
        <v>9</v>
      </c>
      <c r="K168" t="n">
        <v>1</v>
      </c>
      <c r="L168" t="n">
        <v>0</v>
      </c>
      <c r="M168" t="n">
        <v>0</v>
      </c>
      <c r="N168" t="n">
        <v>0</v>
      </c>
      <c r="O168" t="n">
        <v>10</v>
      </c>
      <c r="P168" t="n">
        <v>1</v>
      </c>
      <c r="Q168" t="n">
        <v>13</v>
      </c>
      <c r="R168" s="2" t="inlineStr">
        <is>
          <t>Rynkskinn
Doftskinn
Gammelgransskål
Granticka
Gränsticka
Lunglav
Rosenticka
Rödbrun blekspik
Skrovellav
Tretåig hackspett
Stuplav
Trådticka
Vedticka</t>
        </is>
      </c>
      <c r="S168">
        <f>HYPERLINK("https://klasma.github.io/Logging_2421/artfynd/A 12261-2023 artfynd.xlsx", "A 12261-2023")</f>
        <v/>
      </c>
      <c r="T168">
        <f>HYPERLINK("https://klasma.github.io/Logging_2421/kartor/A 12261-2023 karta.png", "A 12261-2023")</f>
        <v/>
      </c>
      <c r="V168">
        <f>HYPERLINK("https://klasma.github.io/Logging_2421/klagomål/A 12261-2023 FSC-klagomål.docx", "A 12261-2023")</f>
        <v/>
      </c>
      <c r="W168">
        <f>HYPERLINK("https://klasma.github.io/Logging_2421/klagomålsmail/A 12261-2023 FSC-klagomål mail.docx", "A 12261-2023")</f>
        <v/>
      </c>
      <c r="X168">
        <f>HYPERLINK("https://klasma.github.io/Logging_2421/tillsyn/A 12261-2023 tillsynsbegäran.docx", "A 12261-2023")</f>
        <v/>
      </c>
      <c r="Y168">
        <f>HYPERLINK("https://klasma.github.io/Logging_2421/tillsynsmail/A 12261-2023 tillsynsbegäran mail.docx", "A 12261-2023")</f>
        <v/>
      </c>
      <c r="Z168">
        <f>HYPERLINK("https://klasma.github.io/Logging_2421/fåglar/A 12261-2023 prioriterade fågelarter.docx", "A 12261-2023")</f>
        <v/>
      </c>
    </row>
    <row r="169" ht="15" customHeight="1">
      <c r="A169" t="inlineStr">
        <is>
          <t>A 19934-2023</t>
        </is>
      </c>
      <c r="B169" s="1" t="n">
        <v>45051</v>
      </c>
      <c r="C169" s="1" t="n">
        <v>45788</v>
      </c>
      <c r="D169" t="inlineStr">
        <is>
          <t>VÄSTERBOTTENS LÄN</t>
        </is>
      </c>
      <c r="E169" t="inlineStr">
        <is>
          <t>VILHELMINA</t>
        </is>
      </c>
      <c r="F169" t="inlineStr">
        <is>
          <t>Övriga statliga verk och myndigheter</t>
        </is>
      </c>
      <c r="G169" t="n">
        <v>28.1</v>
      </c>
      <c r="H169" t="n">
        <v>4</v>
      </c>
      <c r="I169" t="n">
        <v>2</v>
      </c>
      <c r="J169" t="n">
        <v>9</v>
      </c>
      <c r="K169" t="n">
        <v>1</v>
      </c>
      <c r="L169" t="n">
        <v>0</v>
      </c>
      <c r="M169" t="n">
        <v>0</v>
      </c>
      <c r="N169" t="n">
        <v>0</v>
      </c>
      <c r="O169" t="n">
        <v>10</v>
      </c>
      <c r="P169" t="n">
        <v>1</v>
      </c>
      <c r="Q169" t="n">
        <v>13</v>
      </c>
      <c r="R169" s="2" t="inlineStr">
        <is>
          <t>Rynkskinn
Gammelgransskål
Garnlav
Granticka
Lunglav
Rosenticka
Skrovellav
Spillkråka
Talltita
Tretåig hackspett
Gulnål
Stuplav
Revlummer</t>
        </is>
      </c>
      <c r="S169">
        <f>HYPERLINK("https://klasma.github.io/Logging_2462/artfynd/A 19934-2023 artfynd.xlsx", "A 19934-2023")</f>
        <v/>
      </c>
      <c r="T169">
        <f>HYPERLINK("https://klasma.github.io/Logging_2462/kartor/A 19934-2023 karta.png", "A 19934-2023")</f>
        <v/>
      </c>
      <c r="V169">
        <f>HYPERLINK("https://klasma.github.io/Logging_2462/klagomål/A 19934-2023 FSC-klagomål.docx", "A 19934-2023")</f>
        <v/>
      </c>
      <c r="W169">
        <f>HYPERLINK("https://klasma.github.io/Logging_2462/klagomålsmail/A 19934-2023 FSC-klagomål mail.docx", "A 19934-2023")</f>
        <v/>
      </c>
      <c r="X169">
        <f>HYPERLINK("https://klasma.github.io/Logging_2462/tillsyn/A 19934-2023 tillsynsbegäran.docx", "A 19934-2023")</f>
        <v/>
      </c>
      <c r="Y169">
        <f>HYPERLINK("https://klasma.github.io/Logging_2462/tillsynsmail/A 19934-2023 tillsynsbegäran mail.docx", "A 19934-2023")</f>
        <v/>
      </c>
      <c r="Z169">
        <f>HYPERLINK("https://klasma.github.io/Logging_2462/fåglar/A 19934-2023 prioriterade fågelarter.docx", "A 19934-2023")</f>
        <v/>
      </c>
    </row>
    <row r="170" ht="15" customHeight="1">
      <c r="A170" t="inlineStr">
        <is>
          <t>A 50813-2023</t>
        </is>
      </c>
      <c r="B170" s="1" t="n">
        <v>45217</v>
      </c>
      <c r="C170" s="1" t="n">
        <v>45788</v>
      </c>
      <c r="D170" t="inlineStr">
        <is>
          <t>VÄSTERBOTTENS LÄN</t>
        </is>
      </c>
      <c r="E170" t="inlineStr">
        <is>
          <t>LYCKSELE</t>
        </is>
      </c>
      <c r="F170" t="inlineStr">
        <is>
          <t>Sveaskog</t>
        </is>
      </c>
      <c r="G170" t="n">
        <v>14.7</v>
      </c>
      <c r="H170" t="n">
        <v>3</v>
      </c>
      <c r="I170" t="n">
        <v>6</v>
      </c>
      <c r="J170" t="n">
        <v>4</v>
      </c>
      <c r="K170" t="n">
        <v>0</v>
      </c>
      <c r="L170" t="n">
        <v>0</v>
      </c>
      <c r="M170" t="n">
        <v>0</v>
      </c>
      <c r="N170" t="n">
        <v>0</v>
      </c>
      <c r="O170" t="n">
        <v>4</v>
      </c>
      <c r="P170" t="n">
        <v>0</v>
      </c>
      <c r="Q170" t="n">
        <v>13</v>
      </c>
      <c r="R170" s="2" t="inlineStr">
        <is>
          <t>Brunpudrad nållav
Garnlav
Lunglav
Skrovellav
Bårdlav
Luddlav
Norrlandslav
Skinnlav
Stuplav
Tibast
Tjäder
Fläcknycklar
Revlummer</t>
        </is>
      </c>
      <c r="S170">
        <f>HYPERLINK("https://klasma.github.io/Logging_2481/artfynd/A 50813-2023 artfynd.xlsx", "A 50813-2023")</f>
        <v/>
      </c>
      <c r="T170">
        <f>HYPERLINK("https://klasma.github.io/Logging_2481/kartor/A 50813-2023 karta.png", "A 50813-2023")</f>
        <v/>
      </c>
      <c r="V170">
        <f>HYPERLINK("https://klasma.github.io/Logging_2481/klagomål/A 50813-2023 FSC-klagomål.docx", "A 50813-2023")</f>
        <v/>
      </c>
      <c r="W170">
        <f>HYPERLINK("https://klasma.github.io/Logging_2481/klagomålsmail/A 50813-2023 FSC-klagomål mail.docx", "A 50813-2023")</f>
        <v/>
      </c>
      <c r="X170">
        <f>HYPERLINK("https://klasma.github.io/Logging_2481/tillsyn/A 50813-2023 tillsynsbegäran.docx", "A 50813-2023")</f>
        <v/>
      </c>
      <c r="Y170">
        <f>HYPERLINK("https://klasma.github.io/Logging_2481/tillsynsmail/A 50813-2023 tillsynsbegäran mail.docx", "A 50813-2023")</f>
        <v/>
      </c>
      <c r="Z170">
        <f>HYPERLINK("https://klasma.github.io/Logging_2481/fåglar/A 50813-2023 prioriterade fågelarter.docx", "A 50813-2023")</f>
        <v/>
      </c>
    </row>
    <row r="171" ht="15" customHeight="1">
      <c r="A171" t="inlineStr">
        <is>
          <t>A 15051-2024</t>
        </is>
      </c>
      <c r="B171" s="1" t="n">
        <v>45399</v>
      </c>
      <c r="C171" s="1" t="n">
        <v>45788</v>
      </c>
      <c r="D171" t="inlineStr">
        <is>
          <t>VÄSTERBOTTENS LÄN</t>
        </is>
      </c>
      <c r="E171" t="inlineStr">
        <is>
          <t>VILHELMINA</t>
        </is>
      </c>
      <c r="F171" t="inlineStr">
        <is>
          <t>SCA</t>
        </is>
      </c>
      <c r="G171" t="n">
        <v>8.300000000000001</v>
      </c>
      <c r="H171" t="n">
        <v>1</v>
      </c>
      <c r="I171" t="n">
        <v>1</v>
      </c>
      <c r="J171" t="n">
        <v>11</v>
      </c>
      <c r="K171" t="n">
        <v>1</v>
      </c>
      <c r="L171" t="n">
        <v>0</v>
      </c>
      <c r="M171" t="n">
        <v>0</v>
      </c>
      <c r="N171" t="n">
        <v>0</v>
      </c>
      <c r="O171" t="n">
        <v>12</v>
      </c>
      <c r="P171" t="n">
        <v>1</v>
      </c>
      <c r="Q171" t="n">
        <v>13</v>
      </c>
      <c r="R171" s="2" t="inlineStr">
        <is>
          <t>Rynkskinn
Gammelgransskål
Garnlav
Granticka
Gränsticka
Harticka
Liten svartspik
Rosenticka
Tretåig hackspett
Ullticka
Vitgrynig nållav
Vitskaftad svartspik
Trådticka</t>
        </is>
      </c>
      <c r="S171">
        <f>HYPERLINK("https://klasma.github.io/Logging_2462/artfynd/A 15051-2024 artfynd.xlsx", "A 15051-2024")</f>
        <v/>
      </c>
      <c r="T171">
        <f>HYPERLINK("https://klasma.github.io/Logging_2462/kartor/A 15051-2024 karta.png", "A 15051-2024")</f>
        <v/>
      </c>
      <c r="V171">
        <f>HYPERLINK("https://klasma.github.io/Logging_2462/klagomål/A 15051-2024 FSC-klagomål.docx", "A 15051-2024")</f>
        <v/>
      </c>
      <c r="W171">
        <f>HYPERLINK("https://klasma.github.io/Logging_2462/klagomålsmail/A 15051-2024 FSC-klagomål mail.docx", "A 15051-2024")</f>
        <v/>
      </c>
      <c r="X171">
        <f>HYPERLINK("https://klasma.github.io/Logging_2462/tillsyn/A 15051-2024 tillsynsbegäran.docx", "A 15051-2024")</f>
        <v/>
      </c>
      <c r="Y171">
        <f>HYPERLINK("https://klasma.github.io/Logging_2462/tillsynsmail/A 15051-2024 tillsynsbegäran mail.docx", "A 15051-2024")</f>
        <v/>
      </c>
      <c r="Z171">
        <f>HYPERLINK("https://klasma.github.io/Logging_2462/fåglar/A 15051-2024 prioriterade fågelarter.docx", "A 15051-2024")</f>
        <v/>
      </c>
    </row>
    <row r="172" ht="15" customHeight="1">
      <c r="A172" t="inlineStr">
        <is>
          <t>A 28705-2024</t>
        </is>
      </c>
      <c r="B172" s="1" t="n">
        <v>45478</v>
      </c>
      <c r="C172" s="1" t="n">
        <v>45788</v>
      </c>
      <c r="D172" t="inlineStr">
        <is>
          <t>VÄSTERBOTTENS LÄN</t>
        </is>
      </c>
      <c r="E172" t="inlineStr">
        <is>
          <t>VILHELMINA</t>
        </is>
      </c>
      <c r="F172" t="inlineStr">
        <is>
          <t>Allmännings- och besparingsskogar</t>
        </is>
      </c>
      <c r="G172" t="n">
        <v>6.9</v>
      </c>
      <c r="H172" t="n">
        <v>2</v>
      </c>
      <c r="I172" t="n">
        <v>3</v>
      </c>
      <c r="J172" t="n">
        <v>9</v>
      </c>
      <c r="K172" t="n">
        <v>1</v>
      </c>
      <c r="L172" t="n">
        <v>0</v>
      </c>
      <c r="M172" t="n">
        <v>0</v>
      </c>
      <c r="N172" t="n">
        <v>0</v>
      </c>
      <c r="O172" t="n">
        <v>10</v>
      </c>
      <c r="P172" t="n">
        <v>1</v>
      </c>
      <c r="Q172" t="n">
        <v>13</v>
      </c>
      <c r="R172" s="2" t="inlineStr">
        <is>
          <t>Skuggnål
Gammelgransskål
Garnlav
Granticka
Gränsticka
Leptoporus mollis
Lunglav
Skrovellav
Spillkråka
Tretåig hackspett
Luddlav
Stuplav
Vedticka</t>
        </is>
      </c>
      <c r="S172">
        <f>HYPERLINK("https://klasma.github.io/Logging_2462/artfynd/A 28705-2024 artfynd.xlsx", "A 28705-2024")</f>
        <v/>
      </c>
      <c r="T172">
        <f>HYPERLINK("https://klasma.github.io/Logging_2462/kartor/A 28705-2024 karta.png", "A 28705-2024")</f>
        <v/>
      </c>
      <c r="V172">
        <f>HYPERLINK("https://klasma.github.io/Logging_2462/klagomål/A 28705-2024 FSC-klagomål.docx", "A 28705-2024")</f>
        <v/>
      </c>
      <c r="W172">
        <f>HYPERLINK("https://klasma.github.io/Logging_2462/klagomålsmail/A 28705-2024 FSC-klagomål mail.docx", "A 28705-2024")</f>
        <v/>
      </c>
      <c r="X172">
        <f>HYPERLINK("https://klasma.github.io/Logging_2462/tillsyn/A 28705-2024 tillsynsbegäran.docx", "A 28705-2024")</f>
        <v/>
      </c>
      <c r="Y172">
        <f>HYPERLINK("https://klasma.github.io/Logging_2462/tillsynsmail/A 28705-2024 tillsynsbegäran mail.docx", "A 28705-2024")</f>
        <v/>
      </c>
      <c r="Z172">
        <f>HYPERLINK("https://klasma.github.io/Logging_2462/fåglar/A 28705-2024 prioriterade fågelarter.docx", "A 28705-2024")</f>
        <v/>
      </c>
    </row>
    <row r="173" ht="15" customHeight="1">
      <c r="A173" t="inlineStr">
        <is>
          <t>A 50983-2024</t>
        </is>
      </c>
      <c r="B173" s="1" t="n">
        <v>45603</v>
      </c>
      <c r="C173" s="1" t="n">
        <v>45788</v>
      </c>
      <c r="D173" t="inlineStr">
        <is>
          <t>VÄSTERBOTTENS LÄN</t>
        </is>
      </c>
      <c r="E173" t="inlineStr">
        <is>
          <t>STORUMAN</t>
        </is>
      </c>
      <c r="G173" t="n">
        <v>19.3</v>
      </c>
      <c r="H173" t="n">
        <v>1</v>
      </c>
      <c r="I173" t="n">
        <v>4</v>
      </c>
      <c r="J173" t="n">
        <v>9</v>
      </c>
      <c r="K173" t="n">
        <v>0</v>
      </c>
      <c r="L173" t="n">
        <v>0</v>
      </c>
      <c r="M173" t="n">
        <v>0</v>
      </c>
      <c r="N173" t="n">
        <v>0</v>
      </c>
      <c r="O173" t="n">
        <v>9</v>
      </c>
      <c r="P173" t="n">
        <v>0</v>
      </c>
      <c r="Q173" t="n">
        <v>13</v>
      </c>
      <c r="R173" s="2" t="inlineStr">
        <is>
          <t>Gammelgransskål
Garnlav
Granticka
Gränsticka
Harticka
Knottrig blåslav
Skrovellav
Tretåig hackspett
Ullticka
Gulnål
Skinnlav
Stuplav
Trådticka</t>
        </is>
      </c>
      <c r="S173">
        <f>HYPERLINK("https://klasma.github.io/Logging_2421/artfynd/A 50983-2024 artfynd.xlsx", "A 50983-2024")</f>
        <v/>
      </c>
      <c r="T173">
        <f>HYPERLINK("https://klasma.github.io/Logging_2421/kartor/A 50983-2024 karta.png", "A 50983-2024")</f>
        <v/>
      </c>
      <c r="V173">
        <f>HYPERLINK("https://klasma.github.io/Logging_2421/klagomål/A 50983-2024 FSC-klagomål.docx", "A 50983-2024")</f>
        <v/>
      </c>
      <c r="W173">
        <f>HYPERLINK("https://klasma.github.io/Logging_2421/klagomålsmail/A 50983-2024 FSC-klagomål mail.docx", "A 50983-2024")</f>
        <v/>
      </c>
      <c r="X173">
        <f>HYPERLINK("https://klasma.github.io/Logging_2421/tillsyn/A 50983-2024 tillsynsbegäran.docx", "A 50983-2024")</f>
        <v/>
      </c>
      <c r="Y173">
        <f>HYPERLINK("https://klasma.github.io/Logging_2421/tillsynsmail/A 50983-2024 tillsynsbegäran mail.docx", "A 50983-2024")</f>
        <v/>
      </c>
      <c r="Z173">
        <f>HYPERLINK("https://klasma.github.io/Logging_2421/fåglar/A 50983-2024 prioriterade fågelarter.docx", "A 50983-2024")</f>
        <v/>
      </c>
    </row>
    <row r="174" ht="15" customHeight="1">
      <c r="A174" t="inlineStr">
        <is>
          <t>A 53141-2024</t>
        </is>
      </c>
      <c r="B174" s="1" t="n">
        <v>45611</v>
      </c>
      <c r="C174" s="1" t="n">
        <v>45788</v>
      </c>
      <c r="D174" t="inlineStr">
        <is>
          <t>VÄSTERBOTTENS LÄN</t>
        </is>
      </c>
      <c r="E174" t="inlineStr">
        <is>
          <t>LYCKSELE</t>
        </is>
      </c>
      <c r="F174" t="inlineStr">
        <is>
          <t>Holmen skog AB</t>
        </is>
      </c>
      <c r="G174" t="n">
        <v>25.4</v>
      </c>
      <c r="H174" t="n">
        <v>4</v>
      </c>
      <c r="I174" t="n">
        <v>3</v>
      </c>
      <c r="J174" t="n">
        <v>7</v>
      </c>
      <c r="K174" t="n">
        <v>1</v>
      </c>
      <c r="L174" t="n">
        <v>0</v>
      </c>
      <c r="M174" t="n">
        <v>0</v>
      </c>
      <c r="N174" t="n">
        <v>0</v>
      </c>
      <c r="O174" t="n">
        <v>8</v>
      </c>
      <c r="P174" t="n">
        <v>1</v>
      </c>
      <c r="Q174" t="n">
        <v>13</v>
      </c>
      <c r="R174" s="2" t="inlineStr">
        <is>
          <t>Knärot
Garnlav
Granticka
Harticka
Lunglav
Skrovellav
Talltita
Violmussling
Bårdlav
Luddlav
Stuplav
Fläcknycklar
Revlummer</t>
        </is>
      </c>
      <c r="S174">
        <f>HYPERLINK("https://klasma.github.io/Logging_2481/artfynd/A 53141-2024 artfynd.xlsx", "A 53141-2024")</f>
        <v/>
      </c>
      <c r="T174">
        <f>HYPERLINK("https://klasma.github.io/Logging_2481/kartor/A 53141-2024 karta.png", "A 53141-2024")</f>
        <v/>
      </c>
      <c r="U174">
        <f>HYPERLINK("https://klasma.github.io/Logging_2481/knärot/A 53141-2024 karta knärot.png", "A 53141-2024")</f>
        <v/>
      </c>
      <c r="V174">
        <f>HYPERLINK("https://klasma.github.io/Logging_2481/klagomål/A 53141-2024 FSC-klagomål.docx", "A 53141-2024")</f>
        <v/>
      </c>
      <c r="W174">
        <f>HYPERLINK("https://klasma.github.io/Logging_2481/klagomålsmail/A 53141-2024 FSC-klagomål mail.docx", "A 53141-2024")</f>
        <v/>
      </c>
      <c r="X174">
        <f>HYPERLINK("https://klasma.github.io/Logging_2481/tillsyn/A 53141-2024 tillsynsbegäran.docx", "A 53141-2024")</f>
        <v/>
      </c>
      <c r="Y174">
        <f>HYPERLINK("https://klasma.github.io/Logging_2481/tillsynsmail/A 53141-2024 tillsynsbegäran mail.docx", "A 53141-2024")</f>
        <v/>
      </c>
      <c r="Z174">
        <f>HYPERLINK("https://klasma.github.io/Logging_2481/fåglar/A 53141-2024 prioriterade fågelarter.docx", "A 53141-2024")</f>
        <v/>
      </c>
    </row>
    <row r="175" ht="15" customHeight="1">
      <c r="A175" t="inlineStr">
        <is>
          <t>A 4874-2025</t>
        </is>
      </c>
      <c r="B175" s="1" t="n">
        <v>45688</v>
      </c>
      <c r="C175" s="1" t="n">
        <v>45788</v>
      </c>
      <c r="D175" t="inlineStr">
        <is>
          <t>VÄSTERBOTTENS LÄN</t>
        </is>
      </c>
      <c r="E175" t="inlineStr">
        <is>
          <t>SKELLEFTEÅ</t>
        </is>
      </c>
      <c r="G175" t="n">
        <v>17.8</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HYPERLINK("https://klasma.github.io/Logging_2482/artfynd/A 4874-2025 artfynd.xlsx", "A 4874-2025")</f>
        <v/>
      </c>
      <c r="T175">
        <f>HYPERLINK("https://klasma.github.io/Logging_2482/kartor/A 4874-2025 karta.png", "A 4874-2025")</f>
        <v/>
      </c>
      <c r="V175">
        <f>HYPERLINK("https://klasma.github.io/Logging_2482/klagomål/A 4874-2025 FSC-klagomål.docx", "A 4874-2025")</f>
        <v/>
      </c>
      <c r="W175">
        <f>HYPERLINK("https://klasma.github.io/Logging_2482/klagomålsmail/A 4874-2025 FSC-klagomål mail.docx", "A 4874-2025")</f>
        <v/>
      </c>
      <c r="X175">
        <f>HYPERLINK("https://klasma.github.io/Logging_2482/tillsyn/A 4874-2025 tillsynsbegäran.docx", "A 4874-2025")</f>
        <v/>
      </c>
      <c r="Y175">
        <f>HYPERLINK("https://klasma.github.io/Logging_2482/tillsynsmail/A 4874-2025 tillsynsbegäran mail.docx", "A 4874-2025")</f>
        <v/>
      </c>
      <c r="Z175">
        <f>HYPERLINK("https://klasma.github.io/Logging_2482/fåglar/A 4874-2025 prioriterade fågelarter.docx", "A 4874-2025")</f>
        <v/>
      </c>
    </row>
    <row r="176" ht="15" customHeight="1">
      <c r="A176" t="inlineStr">
        <is>
          <t>A 18574-2025</t>
        </is>
      </c>
      <c r="B176" s="1" t="n">
        <v>45763</v>
      </c>
      <c r="C176" s="1" t="n">
        <v>45788</v>
      </c>
      <c r="D176" t="inlineStr">
        <is>
          <t>VÄSTERBOTTENS LÄN</t>
        </is>
      </c>
      <c r="E176" t="inlineStr">
        <is>
          <t>SKELLEFTEÅ</t>
        </is>
      </c>
      <c r="G176" t="n">
        <v>18.6</v>
      </c>
      <c r="H176" t="n">
        <v>5</v>
      </c>
      <c r="I176" t="n">
        <v>2</v>
      </c>
      <c r="J176" t="n">
        <v>10</v>
      </c>
      <c r="K176" t="n">
        <v>1</v>
      </c>
      <c r="L176" t="n">
        <v>0</v>
      </c>
      <c r="M176" t="n">
        <v>0</v>
      </c>
      <c r="N176" t="n">
        <v>0</v>
      </c>
      <c r="O176" t="n">
        <v>11</v>
      </c>
      <c r="P176" t="n">
        <v>1</v>
      </c>
      <c r="Q176" t="n">
        <v>13</v>
      </c>
      <c r="R176" s="2" t="inlineStr">
        <is>
          <t>Lappuggla
Duvhök
Gammelgransskål
Garnlav
Järpe
Kortskaftad ärgspik
Spillkråka
Tretåig hackspett
Ullticka
Vedskivlav
Violettgrå tagellav
Nästlav
Vedticka</t>
        </is>
      </c>
      <c r="S176">
        <f>HYPERLINK("https://klasma.github.io/Logging_242482/artfynd/A 18574-2025 artfynd.xlsx", "A 18574-2025")</f>
        <v/>
      </c>
      <c r="T176">
        <f>HYPERLINK("https://klasma.github.io/Logging_242482/kartor/A 18574-2025 karta.png", "A 18574-2025")</f>
        <v/>
      </c>
      <c r="V176">
        <f>HYPERLINK("https://klasma.github.io/Logging_242482/klagomål/A 18574-2025 FSC-klagomål.docx", "A 18574-2025")</f>
        <v/>
      </c>
      <c r="W176">
        <f>HYPERLINK("https://klasma.github.io/Logging_242482/klagomålsmail/A 18574-2025 FSC-klagomål mail.docx", "A 18574-2025")</f>
        <v/>
      </c>
      <c r="X176">
        <f>HYPERLINK("https://klasma.github.io/Logging_242482/tillsyn/A 18574-2025 tillsynsbegäran.docx", "A 18574-2025")</f>
        <v/>
      </c>
      <c r="Y176">
        <f>HYPERLINK("https://klasma.github.io/Logging_242482/tillsynsmail/A 18574-2025 tillsynsbegäran mail.docx", "A 18574-2025")</f>
        <v/>
      </c>
      <c r="Z176">
        <f>HYPERLINK("https://klasma.github.io/Logging_242482/fåglar/A 18574-2025 prioriterade fågelarter.docx", "A 18574-2025")</f>
        <v/>
      </c>
    </row>
    <row r="177" ht="15" customHeight="1">
      <c r="A177" t="inlineStr">
        <is>
          <t>A 58512-2019</t>
        </is>
      </c>
      <c r="B177" s="1" t="n">
        <v>43773</v>
      </c>
      <c r="C177" s="1" t="n">
        <v>45788</v>
      </c>
      <c r="D177" t="inlineStr">
        <is>
          <t>VÄSTERBOTTENS LÄN</t>
        </is>
      </c>
      <c r="E177" t="inlineStr">
        <is>
          <t>SORSELE</t>
        </is>
      </c>
      <c r="F177" t="inlineStr">
        <is>
          <t>Sveaskog</t>
        </is>
      </c>
      <c r="G177" t="n">
        <v>27.7</v>
      </c>
      <c r="H177" t="n">
        <v>2</v>
      </c>
      <c r="I177" t="n">
        <v>3</v>
      </c>
      <c r="J177" t="n">
        <v>9</v>
      </c>
      <c r="K177" t="n">
        <v>0</v>
      </c>
      <c r="L177" t="n">
        <v>0</v>
      </c>
      <c r="M177" t="n">
        <v>0</v>
      </c>
      <c r="N177" t="n">
        <v>0</v>
      </c>
      <c r="O177" t="n">
        <v>9</v>
      </c>
      <c r="P177" t="n">
        <v>0</v>
      </c>
      <c r="Q177" t="n">
        <v>12</v>
      </c>
      <c r="R177" s="2" t="inlineStr">
        <is>
          <t>Doftskinn
Gammelgransskål
Garnlav
Granticka
Gränsticka
Knottrig blåslav
Rosenticka
Tretåig hackspett
Ullticka
Luddlav
Spindelblomster
Vedticka</t>
        </is>
      </c>
      <c r="S177">
        <f>HYPERLINK("https://klasma.github.io/Logging_2422/artfynd/A 58512-2019 artfynd.xlsx", "A 58512-2019")</f>
        <v/>
      </c>
      <c r="T177">
        <f>HYPERLINK("https://klasma.github.io/Logging_2422/kartor/A 58512-2019 karta.png", "A 58512-2019")</f>
        <v/>
      </c>
      <c r="V177">
        <f>HYPERLINK("https://klasma.github.io/Logging_2422/klagomål/A 58512-2019 FSC-klagomål.docx", "A 58512-2019")</f>
        <v/>
      </c>
      <c r="W177">
        <f>HYPERLINK("https://klasma.github.io/Logging_2422/klagomålsmail/A 58512-2019 FSC-klagomål mail.docx", "A 58512-2019")</f>
        <v/>
      </c>
      <c r="X177">
        <f>HYPERLINK("https://klasma.github.io/Logging_2422/tillsyn/A 58512-2019 tillsynsbegäran.docx", "A 58512-2019")</f>
        <v/>
      </c>
      <c r="Y177">
        <f>HYPERLINK("https://klasma.github.io/Logging_2422/tillsynsmail/A 58512-2019 tillsynsbegäran mail.docx", "A 58512-2019")</f>
        <v/>
      </c>
      <c r="Z177">
        <f>HYPERLINK("https://klasma.github.io/Logging_2422/fåglar/A 58512-2019 prioriterade fågelarter.docx", "A 58512-2019")</f>
        <v/>
      </c>
    </row>
    <row r="178" ht="15" customHeight="1">
      <c r="A178" t="inlineStr">
        <is>
          <t>A 43878-2020</t>
        </is>
      </c>
      <c r="B178" s="1" t="n">
        <v>44078</v>
      </c>
      <c r="C178" s="1" t="n">
        <v>45788</v>
      </c>
      <c r="D178" t="inlineStr">
        <is>
          <t>VÄSTERBOTTENS LÄN</t>
        </is>
      </c>
      <c r="E178" t="inlineStr">
        <is>
          <t>STORUMAN</t>
        </is>
      </c>
      <c r="F178" t="inlineStr">
        <is>
          <t>Allmännings- och besparingsskogar</t>
        </is>
      </c>
      <c r="G178" t="n">
        <v>139.1</v>
      </c>
      <c r="H178" t="n">
        <v>1</v>
      </c>
      <c r="I178" t="n">
        <v>2</v>
      </c>
      <c r="J178" t="n">
        <v>7</v>
      </c>
      <c r="K178" t="n">
        <v>3</v>
      </c>
      <c r="L178" t="n">
        <v>0</v>
      </c>
      <c r="M178" t="n">
        <v>0</v>
      </c>
      <c r="N178" t="n">
        <v>0</v>
      </c>
      <c r="O178" t="n">
        <v>10</v>
      </c>
      <c r="P178" t="n">
        <v>3</v>
      </c>
      <c r="Q178" t="n">
        <v>12</v>
      </c>
      <c r="R178" s="2" t="inlineStr">
        <is>
          <t>Ostticka
Rynkskinn
Tajgaskinn
Doftskinn
Gränsticka
Kungsörn
Lunglav
Rosenticka
Stjärntagging
Ullticka
Trådticka
Vedticka</t>
        </is>
      </c>
      <c r="S178">
        <f>HYPERLINK("https://klasma.github.io/Logging_2421/artfynd/A 43878-2020 artfynd.xlsx", "A 43878-2020")</f>
        <v/>
      </c>
      <c r="T178">
        <f>HYPERLINK("https://klasma.github.io/Logging_2421/kartor/A 43878-2020 karta.png", "A 43878-2020")</f>
        <v/>
      </c>
      <c r="V178">
        <f>HYPERLINK("https://klasma.github.io/Logging_2421/klagomål/A 43878-2020 FSC-klagomål.docx", "A 43878-2020")</f>
        <v/>
      </c>
      <c r="W178">
        <f>HYPERLINK("https://klasma.github.io/Logging_2421/klagomålsmail/A 43878-2020 FSC-klagomål mail.docx", "A 43878-2020")</f>
        <v/>
      </c>
      <c r="X178">
        <f>HYPERLINK("https://klasma.github.io/Logging_2421/tillsyn/A 43878-2020 tillsynsbegäran.docx", "A 43878-2020")</f>
        <v/>
      </c>
      <c r="Y178">
        <f>HYPERLINK("https://klasma.github.io/Logging_2421/tillsynsmail/A 43878-2020 tillsynsbegäran mail.docx", "A 43878-2020")</f>
        <v/>
      </c>
      <c r="Z178">
        <f>HYPERLINK("https://klasma.github.io/Logging_2421/fåglar/A 43878-2020 prioriterade fågelarter.docx", "A 43878-2020")</f>
        <v/>
      </c>
    </row>
    <row r="179" ht="15" customHeight="1">
      <c r="A179" t="inlineStr">
        <is>
          <t>A 43976-2020</t>
        </is>
      </c>
      <c r="B179" s="1" t="n">
        <v>44078</v>
      </c>
      <c r="C179" s="1" t="n">
        <v>45788</v>
      </c>
      <c r="D179" t="inlineStr">
        <is>
          <t>VÄSTERBOTTENS LÄN</t>
        </is>
      </c>
      <c r="E179" t="inlineStr">
        <is>
          <t>SORSELE</t>
        </is>
      </c>
      <c r="F179" t="inlineStr">
        <is>
          <t>Allmännings- och besparingsskogar</t>
        </is>
      </c>
      <c r="G179" t="n">
        <v>115.3</v>
      </c>
      <c r="H179" t="n">
        <v>1</v>
      </c>
      <c r="I179" t="n">
        <v>1</v>
      </c>
      <c r="J179" t="n">
        <v>7</v>
      </c>
      <c r="K179" t="n">
        <v>4</v>
      </c>
      <c r="L179" t="n">
        <v>0</v>
      </c>
      <c r="M179" t="n">
        <v>0</v>
      </c>
      <c r="N179" t="n">
        <v>0</v>
      </c>
      <c r="O179" t="n">
        <v>11</v>
      </c>
      <c r="P179" t="n">
        <v>4</v>
      </c>
      <c r="Q179" t="n">
        <v>12</v>
      </c>
      <c r="R179" s="2" t="inlineStr">
        <is>
          <t>Lappticka
Ostticka
Rynkskinn
Tajgaskinn
Garnlav
Granticka
Gränsticka
Harticka
Leptoporus mollis
Tretåig hackspett
Ullticka
Blodticka</t>
        </is>
      </c>
      <c r="S179">
        <f>HYPERLINK("https://klasma.github.io/Logging_2422/artfynd/A 43976-2020 artfynd.xlsx", "A 43976-2020")</f>
        <v/>
      </c>
      <c r="T179">
        <f>HYPERLINK("https://klasma.github.io/Logging_2422/kartor/A 43976-2020 karta.png", "A 43976-2020")</f>
        <v/>
      </c>
      <c r="V179">
        <f>HYPERLINK("https://klasma.github.io/Logging_2422/klagomål/A 43976-2020 FSC-klagomål.docx", "A 43976-2020")</f>
        <v/>
      </c>
      <c r="W179">
        <f>HYPERLINK("https://klasma.github.io/Logging_2422/klagomålsmail/A 43976-2020 FSC-klagomål mail.docx", "A 43976-2020")</f>
        <v/>
      </c>
      <c r="X179">
        <f>HYPERLINK("https://klasma.github.io/Logging_2422/tillsyn/A 43976-2020 tillsynsbegäran.docx", "A 43976-2020")</f>
        <v/>
      </c>
      <c r="Y179">
        <f>HYPERLINK("https://klasma.github.io/Logging_2422/tillsynsmail/A 43976-2020 tillsynsbegäran mail.docx", "A 43976-2020")</f>
        <v/>
      </c>
      <c r="Z179">
        <f>HYPERLINK("https://klasma.github.io/Logging_2422/fåglar/A 43976-2020 prioriterade fågelarter.docx", "A 43976-2020")</f>
        <v/>
      </c>
    </row>
    <row r="180" ht="15" customHeight="1">
      <c r="A180" t="inlineStr">
        <is>
          <t>A 48034-2020</t>
        </is>
      </c>
      <c r="B180" s="1" t="n">
        <v>44095</v>
      </c>
      <c r="C180" s="1" t="n">
        <v>45788</v>
      </c>
      <c r="D180" t="inlineStr">
        <is>
          <t>VÄSTERBOTTENS LÄN</t>
        </is>
      </c>
      <c r="E180" t="inlineStr">
        <is>
          <t>VILHELMINA</t>
        </is>
      </c>
      <c r="F180" t="inlineStr">
        <is>
          <t>Allmännings- och besparingsskogar</t>
        </is>
      </c>
      <c r="G180" t="n">
        <v>19.9</v>
      </c>
      <c r="H180" t="n">
        <v>1</v>
      </c>
      <c r="I180" t="n">
        <v>1</v>
      </c>
      <c r="J180" t="n">
        <v>9</v>
      </c>
      <c r="K180" t="n">
        <v>2</v>
      </c>
      <c r="L180" t="n">
        <v>0</v>
      </c>
      <c r="M180" t="n">
        <v>0</v>
      </c>
      <c r="N180" t="n">
        <v>0</v>
      </c>
      <c r="O180" t="n">
        <v>11</v>
      </c>
      <c r="P180" t="n">
        <v>2</v>
      </c>
      <c r="Q180" t="n">
        <v>12</v>
      </c>
      <c r="R180" s="2" t="inlineStr">
        <is>
          <t>Lappticka
Ostticka
Garnlav
Granticka
Gränsticka
Harticka
Knottrig blåslav
Rosenticka
Skrovellav
Tretåig hackspett
Ullticka
Stuplav</t>
        </is>
      </c>
      <c r="S180">
        <f>HYPERLINK("https://klasma.github.io/Logging_2462/artfynd/A 48034-2020 artfynd.xlsx", "A 48034-2020")</f>
        <v/>
      </c>
      <c r="T180">
        <f>HYPERLINK("https://klasma.github.io/Logging_2462/kartor/A 48034-2020 karta.png", "A 48034-2020")</f>
        <v/>
      </c>
      <c r="V180">
        <f>HYPERLINK("https://klasma.github.io/Logging_2462/klagomål/A 48034-2020 FSC-klagomål.docx", "A 48034-2020")</f>
        <v/>
      </c>
      <c r="W180">
        <f>HYPERLINK("https://klasma.github.io/Logging_2462/klagomålsmail/A 48034-2020 FSC-klagomål mail.docx", "A 48034-2020")</f>
        <v/>
      </c>
      <c r="X180">
        <f>HYPERLINK("https://klasma.github.io/Logging_2462/tillsyn/A 48034-2020 tillsynsbegäran.docx", "A 48034-2020")</f>
        <v/>
      </c>
      <c r="Y180">
        <f>HYPERLINK("https://klasma.github.io/Logging_2462/tillsynsmail/A 48034-2020 tillsynsbegäran mail.docx", "A 48034-2020")</f>
        <v/>
      </c>
      <c r="Z180">
        <f>HYPERLINK("https://klasma.github.io/Logging_2462/fåglar/A 48034-2020 prioriterade fågelarter.docx", "A 48034-2020")</f>
        <v/>
      </c>
    </row>
    <row r="181" ht="15" customHeight="1">
      <c r="A181" t="inlineStr">
        <is>
          <t>A 67780-2020</t>
        </is>
      </c>
      <c r="B181" s="1" t="n">
        <v>44182</v>
      </c>
      <c r="C181" s="1" t="n">
        <v>45788</v>
      </c>
      <c r="D181" t="inlineStr">
        <is>
          <t>VÄSTERBOTTENS LÄN</t>
        </is>
      </c>
      <c r="E181" t="inlineStr">
        <is>
          <t>STORUMAN</t>
        </is>
      </c>
      <c r="F181" t="inlineStr">
        <is>
          <t>Sveaskog</t>
        </is>
      </c>
      <c r="G181" t="n">
        <v>10.5</v>
      </c>
      <c r="H181" t="n">
        <v>0</v>
      </c>
      <c r="I181" t="n">
        <v>2</v>
      </c>
      <c r="J181" t="n">
        <v>8</v>
      </c>
      <c r="K181" t="n">
        <v>2</v>
      </c>
      <c r="L181" t="n">
        <v>0</v>
      </c>
      <c r="M181" t="n">
        <v>0</v>
      </c>
      <c r="N181" t="n">
        <v>0</v>
      </c>
      <c r="O181" t="n">
        <v>10</v>
      </c>
      <c r="P181" t="n">
        <v>2</v>
      </c>
      <c r="Q181" t="n">
        <v>12</v>
      </c>
      <c r="R181" s="2" t="inlineStr">
        <is>
          <t>Fläckporing
Gräddporing
Dvärgbägarlav
Gränsticka
Kolflarnlav
Mörk kolflarnlav
Skrovellav
Ullticka
Vaddporing
Vedskivlav
Skinnlav
Vedticka</t>
        </is>
      </c>
      <c r="S181">
        <f>HYPERLINK("https://klasma.github.io/Logging_2421/artfynd/A 67780-2020 artfynd.xlsx", "A 67780-2020")</f>
        <v/>
      </c>
      <c r="T181">
        <f>HYPERLINK("https://klasma.github.io/Logging_2421/kartor/A 67780-2020 karta.png", "A 67780-2020")</f>
        <v/>
      </c>
      <c r="V181">
        <f>HYPERLINK("https://klasma.github.io/Logging_2421/klagomål/A 67780-2020 FSC-klagomål.docx", "A 67780-2020")</f>
        <v/>
      </c>
      <c r="W181">
        <f>HYPERLINK("https://klasma.github.io/Logging_2421/klagomålsmail/A 67780-2020 FSC-klagomål mail.docx", "A 67780-2020")</f>
        <v/>
      </c>
      <c r="X181">
        <f>HYPERLINK("https://klasma.github.io/Logging_2421/tillsyn/A 67780-2020 tillsynsbegäran.docx", "A 67780-2020")</f>
        <v/>
      </c>
      <c r="Y181">
        <f>HYPERLINK("https://klasma.github.io/Logging_2421/tillsynsmail/A 67780-2020 tillsynsbegäran mail.docx", "A 67780-2020")</f>
        <v/>
      </c>
    </row>
    <row r="182" ht="15" customHeight="1">
      <c r="A182" t="inlineStr">
        <is>
          <t>A 12014-2021</t>
        </is>
      </c>
      <c r="B182" s="1" t="n">
        <v>44266</v>
      </c>
      <c r="C182" s="1" t="n">
        <v>45788</v>
      </c>
      <c r="D182" t="inlineStr">
        <is>
          <t>VÄSTERBOTTENS LÄN</t>
        </is>
      </c>
      <c r="E182" t="inlineStr">
        <is>
          <t>VILHELMINA</t>
        </is>
      </c>
      <c r="G182" t="n">
        <v>14.1</v>
      </c>
      <c r="H182" t="n">
        <v>2</v>
      </c>
      <c r="I182" t="n">
        <v>6</v>
      </c>
      <c r="J182" t="n">
        <v>5</v>
      </c>
      <c r="K182" t="n">
        <v>1</v>
      </c>
      <c r="L182" t="n">
        <v>0</v>
      </c>
      <c r="M182" t="n">
        <v>0</v>
      </c>
      <c r="N182" t="n">
        <v>0</v>
      </c>
      <c r="O182" t="n">
        <v>6</v>
      </c>
      <c r="P182" t="n">
        <v>1</v>
      </c>
      <c r="Q182" t="n">
        <v>12</v>
      </c>
      <c r="R182" s="2" t="inlineStr">
        <is>
          <t>Rödskaftad svartspik
Garnlav
Lunglav
Skrovellav
Talltita
Tretåig hackspett
Bårdlav
Kornig nållav
Luddlav
Mörkhövdad spiklav
Skinnlav
Stuplav</t>
        </is>
      </c>
      <c r="S182">
        <f>HYPERLINK("https://klasma.github.io/Logging_2462/artfynd/A 12014-2021 artfynd.xlsx", "A 12014-2021")</f>
        <v/>
      </c>
      <c r="T182">
        <f>HYPERLINK("https://klasma.github.io/Logging_2462/kartor/A 12014-2021 karta.png", "A 12014-2021")</f>
        <v/>
      </c>
      <c r="V182">
        <f>HYPERLINK("https://klasma.github.io/Logging_2462/klagomål/A 12014-2021 FSC-klagomål.docx", "A 12014-2021")</f>
        <v/>
      </c>
      <c r="W182">
        <f>HYPERLINK("https://klasma.github.io/Logging_2462/klagomålsmail/A 12014-2021 FSC-klagomål mail.docx", "A 12014-2021")</f>
        <v/>
      </c>
      <c r="X182">
        <f>HYPERLINK("https://klasma.github.io/Logging_2462/tillsyn/A 12014-2021 tillsynsbegäran.docx", "A 12014-2021")</f>
        <v/>
      </c>
      <c r="Y182">
        <f>HYPERLINK("https://klasma.github.io/Logging_2462/tillsynsmail/A 12014-2021 tillsynsbegäran mail.docx", "A 12014-2021")</f>
        <v/>
      </c>
      <c r="Z182">
        <f>HYPERLINK("https://klasma.github.io/Logging_2462/fåglar/A 12014-2021 prioriterade fågelarter.docx", "A 12014-2021")</f>
        <v/>
      </c>
    </row>
    <row r="183" ht="15" customHeight="1">
      <c r="A183" t="inlineStr">
        <is>
          <t>A 37598-2021</t>
        </is>
      </c>
      <c r="B183" s="1" t="n">
        <v>44399</v>
      </c>
      <c r="C183" s="1" t="n">
        <v>45788</v>
      </c>
      <c r="D183" t="inlineStr">
        <is>
          <t>VÄSTERBOTTENS LÄN</t>
        </is>
      </c>
      <c r="E183" t="inlineStr">
        <is>
          <t>LYCKSELE</t>
        </is>
      </c>
      <c r="F183" t="inlineStr">
        <is>
          <t>Holmen skog AB</t>
        </is>
      </c>
      <c r="G183" t="n">
        <v>11.6</v>
      </c>
      <c r="H183" t="n">
        <v>3</v>
      </c>
      <c r="I183" t="n">
        <v>2</v>
      </c>
      <c r="J183" t="n">
        <v>8</v>
      </c>
      <c r="K183" t="n">
        <v>1</v>
      </c>
      <c r="L183" t="n">
        <v>0</v>
      </c>
      <c r="M183" t="n">
        <v>0</v>
      </c>
      <c r="N183" t="n">
        <v>0</v>
      </c>
      <c r="O183" t="n">
        <v>9</v>
      </c>
      <c r="P183" t="n">
        <v>1</v>
      </c>
      <c r="Q183" t="n">
        <v>12</v>
      </c>
      <c r="R183" s="2" t="inlineStr">
        <is>
          <t>Smalfotad taggsvamp
Blanksvart spiklav
Blågrå svartspik
Dvärgbägarlav
Lunglav
Talltita
Tretåig hackspett
Vedskivlav
Vitplätt
Skarp dropptaggsvamp
Skinnlav
Skogsödla</t>
        </is>
      </c>
      <c r="S183">
        <f>HYPERLINK("https://klasma.github.io/Logging_2481/artfynd/A 37598-2021 artfynd.xlsx", "A 37598-2021")</f>
        <v/>
      </c>
      <c r="T183">
        <f>HYPERLINK("https://klasma.github.io/Logging_2481/kartor/A 37598-2021 karta.png", "A 37598-2021")</f>
        <v/>
      </c>
      <c r="V183">
        <f>HYPERLINK("https://klasma.github.io/Logging_2481/klagomål/A 37598-2021 FSC-klagomål.docx", "A 37598-2021")</f>
        <v/>
      </c>
      <c r="W183">
        <f>HYPERLINK("https://klasma.github.io/Logging_2481/klagomålsmail/A 37598-2021 FSC-klagomål mail.docx", "A 37598-2021")</f>
        <v/>
      </c>
      <c r="X183">
        <f>HYPERLINK("https://klasma.github.io/Logging_2481/tillsyn/A 37598-2021 tillsynsbegäran.docx", "A 37598-2021")</f>
        <v/>
      </c>
      <c r="Y183">
        <f>HYPERLINK("https://klasma.github.io/Logging_2481/tillsynsmail/A 37598-2021 tillsynsbegäran mail.docx", "A 37598-2021")</f>
        <v/>
      </c>
      <c r="Z183">
        <f>HYPERLINK("https://klasma.github.io/Logging_2481/fåglar/A 37598-2021 prioriterade fågelarter.docx", "A 37598-2021")</f>
        <v/>
      </c>
    </row>
    <row r="184" ht="15" customHeight="1">
      <c r="A184" t="inlineStr">
        <is>
          <t>A 48338-2021</t>
        </is>
      </c>
      <c r="B184" s="1" t="n">
        <v>44451</v>
      </c>
      <c r="C184" s="1" t="n">
        <v>45788</v>
      </c>
      <c r="D184" t="inlineStr">
        <is>
          <t>VÄSTERBOTTENS LÄN</t>
        </is>
      </c>
      <c r="E184" t="inlineStr">
        <is>
          <t>STORUMAN</t>
        </is>
      </c>
      <c r="F184" t="inlineStr">
        <is>
          <t>Sveaskog</t>
        </is>
      </c>
      <c r="G184" t="n">
        <v>3.4</v>
      </c>
      <c r="H184" t="n">
        <v>4</v>
      </c>
      <c r="I184" t="n">
        <v>3</v>
      </c>
      <c r="J184" t="n">
        <v>7</v>
      </c>
      <c r="K184" t="n">
        <v>0</v>
      </c>
      <c r="L184" t="n">
        <v>0</v>
      </c>
      <c r="M184" t="n">
        <v>0</v>
      </c>
      <c r="N184" t="n">
        <v>0</v>
      </c>
      <c r="O184" t="n">
        <v>7</v>
      </c>
      <c r="P184" t="n">
        <v>0</v>
      </c>
      <c r="Q184" t="n">
        <v>12</v>
      </c>
      <c r="R184" s="2" t="inlineStr">
        <is>
          <t>Blågrå svartspik
Gammelgransskål
Garnlav
Knottrig blåslav
Lunglav
Skrovellav
Tretåig hackspett
Norrlandslav
Spindelblomster
Stuplav
Fläcknycklar
Revlummer</t>
        </is>
      </c>
      <c r="S184">
        <f>HYPERLINK("https://klasma.github.io/Logging_2421/artfynd/A 48338-2021 artfynd.xlsx", "A 48338-2021")</f>
        <v/>
      </c>
      <c r="T184">
        <f>HYPERLINK("https://klasma.github.io/Logging_2421/kartor/A 48338-2021 karta.png", "A 48338-2021")</f>
        <v/>
      </c>
      <c r="V184">
        <f>HYPERLINK("https://klasma.github.io/Logging_2421/klagomål/A 48338-2021 FSC-klagomål.docx", "A 48338-2021")</f>
        <v/>
      </c>
      <c r="W184">
        <f>HYPERLINK("https://klasma.github.io/Logging_2421/klagomålsmail/A 48338-2021 FSC-klagomål mail.docx", "A 48338-2021")</f>
        <v/>
      </c>
      <c r="X184">
        <f>HYPERLINK("https://klasma.github.io/Logging_2421/tillsyn/A 48338-2021 tillsynsbegäran.docx", "A 48338-2021")</f>
        <v/>
      </c>
      <c r="Y184">
        <f>HYPERLINK("https://klasma.github.io/Logging_2421/tillsynsmail/A 48338-2021 tillsynsbegäran mail.docx", "A 48338-2021")</f>
        <v/>
      </c>
      <c r="Z184">
        <f>HYPERLINK("https://klasma.github.io/Logging_2421/fåglar/A 48338-2021 prioriterade fågelarter.docx", "A 48338-2021")</f>
        <v/>
      </c>
    </row>
    <row r="185" ht="15" customHeight="1">
      <c r="A185" t="inlineStr">
        <is>
          <t>A 48337-2021</t>
        </is>
      </c>
      <c r="B185" s="1" t="n">
        <v>44451</v>
      </c>
      <c r="C185" s="1" t="n">
        <v>45788</v>
      </c>
      <c r="D185" t="inlineStr">
        <is>
          <t>VÄSTERBOTTENS LÄN</t>
        </is>
      </c>
      <c r="E185" t="inlineStr">
        <is>
          <t>STORUMAN</t>
        </is>
      </c>
      <c r="F185" t="inlineStr">
        <is>
          <t>Sveaskog</t>
        </is>
      </c>
      <c r="G185" t="n">
        <v>2.9</v>
      </c>
      <c r="H185" t="n">
        <v>3</v>
      </c>
      <c r="I185" t="n">
        <v>5</v>
      </c>
      <c r="J185" t="n">
        <v>5</v>
      </c>
      <c r="K185" t="n">
        <v>0</v>
      </c>
      <c r="L185" t="n">
        <v>0</v>
      </c>
      <c r="M185" t="n">
        <v>0</v>
      </c>
      <c r="N185" t="n">
        <v>0</v>
      </c>
      <c r="O185" t="n">
        <v>5</v>
      </c>
      <c r="P185" t="n">
        <v>0</v>
      </c>
      <c r="Q185" t="n">
        <v>12</v>
      </c>
      <c r="R185" s="2" t="inlineStr">
        <is>
          <t>Gammelgransskål
Garnlav
Knottrig blåslav
Lunglav
Vitgrynig nållav
Bårdlav
Norrlandslav
Spindelblomster
Stuplav
Vedticka
Gråspett
Revlummer</t>
        </is>
      </c>
      <c r="S185">
        <f>HYPERLINK("https://klasma.github.io/Logging_2421/artfynd/A 48337-2021 artfynd.xlsx", "A 48337-2021")</f>
        <v/>
      </c>
      <c r="T185">
        <f>HYPERLINK("https://klasma.github.io/Logging_2421/kartor/A 48337-2021 karta.png", "A 48337-2021")</f>
        <v/>
      </c>
      <c r="V185">
        <f>HYPERLINK("https://klasma.github.io/Logging_2421/klagomål/A 48337-2021 FSC-klagomål.docx", "A 48337-2021")</f>
        <v/>
      </c>
      <c r="W185">
        <f>HYPERLINK("https://klasma.github.io/Logging_2421/klagomålsmail/A 48337-2021 FSC-klagomål mail.docx", "A 48337-2021")</f>
        <v/>
      </c>
      <c r="X185">
        <f>HYPERLINK("https://klasma.github.io/Logging_2421/tillsyn/A 48337-2021 tillsynsbegäran.docx", "A 48337-2021")</f>
        <v/>
      </c>
      <c r="Y185">
        <f>HYPERLINK("https://klasma.github.io/Logging_2421/tillsynsmail/A 48337-2021 tillsynsbegäran mail.docx", "A 48337-2021")</f>
        <v/>
      </c>
      <c r="Z185">
        <f>HYPERLINK("https://klasma.github.io/Logging_2421/fåglar/A 48337-2021 prioriterade fågelarter.docx", "A 48337-2021")</f>
        <v/>
      </c>
    </row>
    <row r="186" ht="15" customHeight="1">
      <c r="A186" t="inlineStr">
        <is>
          <t>A 62266-2021</t>
        </is>
      </c>
      <c r="B186" s="1" t="n">
        <v>44503</v>
      </c>
      <c r="C186" s="1" t="n">
        <v>45788</v>
      </c>
      <c r="D186" t="inlineStr">
        <is>
          <t>VÄSTERBOTTENS LÄN</t>
        </is>
      </c>
      <c r="E186" t="inlineStr">
        <is>
          <t>VÄNNÄS</t>
        </is>
      </c>
      <c r="F186" t="inlineStr">
        <is>
          <t>Holmen skog AB</t>
        </is>
      </c>
      <c r="G186" t="n">
        <v>7</v>
      </c>
      <c r="H186" t="n">
        <v>2</v>
      </c>
      <c r="I186" t="n">
        <v>4</v>
      </c>
      <c r="J186" t="n">
        <v>7</v>
      </c>
      <c r="K186" t="n">
        <v>1</v>
      </c>
      <c r="L186" t="n">
        <v>0</v>
      </c>
      <c r="M186" t="n">
        <v>0</v>
      </c>
      <c r="N186" t="n">
        <v>0</v>
      </c>
      <c r="O186" t="n">
        <v>8</v>
      </c>
      <c r="P186" t="n">
        <v>1</v>
      </c>
      <c r="Q186" t="n">
        <v>12</v>
      </c>
      <c r="R186" s="2" t="inlineStr">
        <is>
          <t>Rynkskinn
Garnlav
Lunglav
Stjärntagging
Tretåig hackspett
Ullticka
Utter
Vitgrynig nållav
Mörk husmossa
Skinnlav
Skogshakmossa
Stuplav</t>
        </is>
      </c>
      <c r="S186">
        <f>HYPERLINK("https://klasma.github.io/Logging_2460/artfynd/A 62266-2021 artfynd.xlsx", "A 62266-2021")</f>
        <v/>
      </c>
      <c r="T186">
        <f>HYPERLINK("https://klasma.github.io/Logging_2460/kartor/A 62266-2021 karta.png", "A 62266-2021")</f>
        <v/>
      </c>
      <c r="V186">
        <f>HYPERLINK("https://klasma.github.io/Logging_2460/klagomål/A 62266-2021 FSC-klagomål.docx", "A 62266-2021")</f>
        <v/>
      </c>
      <c r="W186">
        <f>HYPERLINK("https://klasma.github.io/Logging_2460/klagomålsmail/A 62266-2021 FSC-klagomål mail.docx", "A 62266-2021")</f>
        <v/>
      </c>
      <c r="X186">
        <f>HYPERLINK("https://klasma.github.io/Logging_2460/tillsyn/A 62266-2021 tillsynsbegäran.docx", "A 62266-2021")</f>
        <v/>
      </c>
      <c r="Y186">
        <f>HYPERLINK("https://klasma.github.io/Logging_2460/tillsynsmail/A 62266-2021 tillsynsbegäran mail.docx", "A 62266-2021")</f>
        <v/>
      </c>
      <c r="Z186">
        <f>HYPERLINK("https://klasma.github.io/Logging_2460/fåglar/A 62266-2021 prioriterade fågelarter.docx", "A 62266-2021")</f>
        <v/>
      </c>
    </row>
    <row r="187" ht="15" customHeight="1">
      <c r="A187" t="inlineStr">
        <is>
          <t>A 45743-2022</t>
        </is>
      </c>
      <c r="B187" s="1" t="n">
        <v>44838</v>
      </c>
      <c r="C187" s="1" t="n">
        <v>45788</v>
      </c>
      <c r="D187" t="inlineStr">
        <is>
          <t>VÄSTERBOTTENS LÄN</t>
        </is>
      </c>
      <c r="E187" t="inlineStr">
        <is>
          <t>VILHELMINA</t>
        </is>
      </c>
      <c r="F187" t="inlineStr">
        <is>
          <t>Allmännings- och besparingsskogar</t>
        </is>
      </c>
      <c r="G187" t="n">
        <v>6.9</v>
      </c>
      <c r="H187" t="n">
        <v>1</v>
      </c>
      <c r="I187" t="n">
        <v>3</v>
      </c>
      <c r="J187" t="n">
        <v>9</v>
      </c>
      <c r="K187" t="n">
        <v>0</v>
      </c>
      <c r="L187" t="n">
        <v>0</v>
      </c>
      <c r="M187" t="n">
        <v>0</v>
      </c>
      <c r="N187" t="n">
        <v>0</v>
      </c>
      <c r="O187" t="n">
        <v>9</v>
      </c>
      <c r="P187" t="n">
        <v>0</v>
      </c>
      <c r="Q187" t="n">
        <v>12</v>
      </c>
      <c r="R187" s="2" t="inlineStr">
        <is>
          <t>Brunpudrad nållav
Garnlav
Gränsticka
Harticka
Lunglav
Rödbrun blekspik
Skrovellav
Tretåig hackspett
Vitgrynig nållav
Gytterlav
Luddlav
Stuplav</t>
        </is>
      </c>
      <c r="S187">
        <f>HYPERLINK("https://klasma.github.io/Logging_2462/artfynd/A 45743-2022 artfynd.xlsx", "A 45743-2022")</f>
        <v/>
      </c>
      <c r="T187">
        <f>HYPERLINK("https://klasma.github.io/Logging_2462/kartor/A 45743-2022 karta.png", "A 45743-2022")</f>
        <v/>
      </c>
      <c r="V187">
        <f>HYPERLINK("https://klasma.github.io/Logging_2462/klagomål/A 45743-2022 FSC-klagomål.docx", "A 45743-2022")</f>
        <v/>
      </c>
      <c r="W187">
        <f>HYPERLINK("https://klasma.github.io/Logging_2462/klagomålsmail/A 45743-2022 FSC-klagomål mail.docx", "A 45743-2022")</f>
        <v/>
      </c>
      <c r="X187">
        <f>HYPERLINK("https://klasma.github.io/Logging_2462/tillsyn/A 45743-2022 tillsynsbegäran.docx", "A 45743-2022")</f>
        <v/>
      </c>
      <c r="Y187">
        <f>HYPERLINK("https://klasma.github.io/Logging_2462/tillsynsmail/A 45743-2022 tillsynsbegäran mail.docx", "A 45743-2022")</f>
        <v/>
      </c>
      <c r="Z187">
        <f>HYPERLINK("https://klasma.github.io/Logging_2462/fåglar/A 45743-2022 prioriterade fågelarter.docx", "A 45743-2022")</f>
        <v/>
      </c>
    </row>
    <row r="188" ht="15" customHeight="1">
      <c r="A188" t="inlineStr">
        <is>
          <t>A 61195-2022</t>
        </is>
      </c>
      <c r="B188" s="1" t="n">
        <v>44915</v>
      </c>
      <c r="C188" s="1" t="n">
        <v>45788</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61195-2022 artfynd.xlsx", "A 61195-2022")</f>
        <v/>
      </c>
      <c r="T188">
        <f>HYPERLINK("https://klasma.github.io/Logging_2482/kartor/A 61195-2022 karta.png", "A 61195-2022")</f>
        <v/>
      </c>
      <c r="U188">
        <f>HYPERLINK("https://klasma.github.io/Logging_2482/knärot/A 61195-2022 karta knärot.png", "A 61195-2022")</f>
        <v/>
      </c>
      <c r="V188">
        <f>HYPERLINK("https://klasma.github.io/Logging_2482/klagomål/A 61195-2022 FSC-klagomål.docx", "A 61195-2022")</f>
        <v/>
      </c>
      <c r="W188">
        <f>HYPERLINK("https://klasma.github.io/Logging_2482/klagomålsmail/A 61195-2022 FSC-klagomål mail.docx", "A 61195-2022")</f>
        <v/>
      </c>
      <c r="X188">
        <f>HYPERLINK("https://klasma.github.io/Logging_2482/tillsyn/A 61195-2022 tillsynsbegäran.docx", "A 61195-2022")</f>
        <v/>
      </c>
      <c r="Y188">
        <f>HYPERLINK("https://klasma.github.io/Logging_2482/tillsynsmail/A 61195-2022 tillsynsbegäran mail.docx", "A 61195-2022")</f>
        <v/>
      </c>
      <c r="Z188">
        <f>HYPERLINK("https://klasma.github.io/Logging_2482/fåglar/A 61195-2022 prioriterade fågelarter.docx", "A 61195-2022")</f>
        <v/>
      </c>
    </row>
    <row r="189" ht="15" customHeight="1">
      <c r="A189" t="inlineStr">
        <is>
          <t>A 61196-2022</t>
        </is>
      </c>
      <c r="B189" s="1" t="n">
        <v>44915</v>
      </c>
      <c r="C189" s="1" t="n">
        <v>45788</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61196-2022 artfynd.xlsx", "A 61196-2022")</f>
        <v/>
      </c>
      <c r="T189">
        <f>HYPERLINK("https://klasma.github.io/Logging_2482/kartor/A 61196-2022 karta.png", "A 61196-2022")</f>
        <v/>
      </c>
      <c r="U189">
        <f>HYPERLINK("https://klasma.github.io/Logging_2482/knärot/A 61196-2022 karta knärot.png", "A 61196-2022")</f>
        <v/>
      </c>
      <c r="V189">
        <f>HYPERLINK("https://klasma.github.io/Logging_2482/klagomål/A 61196-2022 FSC-klagomål.docx", "A 61196-2022")</f>
        <v/>
      </c>
      <c r="W189">
        <f>HYPERLINK("https://klasma.github.io/Logging_2482/klagomålsmail/A 61196-2022 FSC-klagomål mail.docx", "A 61196-2022")</f>
        <v/>
      </c>
      <c r="X189">
        <f>HYPERLINK("https://klasma.github.io/Logging_2482/tillsyn/A 61196-2022 tillsynsbegäran.docx", "A 61196-2022")</f>
        <v/>
      </c>
      <c r="Y189">
        <f>HYPERLINK("https://klasma.github.io/Logging_2482/tillsynsmail/A 61196-2022 tillsynsbegäran mail.docx", "A 61196-2022")</f>
        <v/>
      </c>
      <c r="Z189">
        <f>HYPERLINK("https://klasma.github.io/Logging_2482/fåglar/A 61196-2022 prioriterade fågelarter.docx", "A 61196-2022")</f>
        <v/>
      </c>
    </row>
    <row r="190" ht="15" customHeight="1">
      <c r="A190" t="inlineStr">
        <is>
          <t>A 10649-2023</t>
        </is>
      </c>
      <c r="B190" s="1" t="n">
        <v>44984</v>
      </c>
      <c r="C190" s="1" t="n">
        <v>45788</v>
      </c>
      <c r="D190" t="inlineStr">
        <is>
          <t>VÄSTERBOTTENS LÄN</t>
        </is>
      </c>
      <c r="E190" t="inlineStr">
        <is>
          <t>ROBERTSFORS</t>
        </is>
      </c>
      <c r="G190" t="n">
        <v>24.9</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10649-2023 artfynd.xlsx", "A 10649-2023")</f>
        <v/>
      </c>
      <c r="T190">
        <f>HYPERLINK("https://klasma.github.io/Logging_2409/kartor/A 10649-2023 karta.png", "A 10649-2023")</f>
        <v/>
      </c>
      <c r="V190">
        <f>HYPERLINK("https://klasma.github.io/Logging_2409/klagomål/A 10649-2023 FSC-klagomål.docx", "A 10649-2023")</f>
        <v/>
      </c>
      <c r="W190">
        <f>HYPERLINK("https://klasma.github.io/Logging_2409/klagomålsmail/A 10649-2023 FSC-klagomål mail.docx", "A 10649-2023")</f>
        <v/>
      </c>
      <c r="X190">
        <f>HYPERLINK("https://klasma.github.io/Logging_2409/tillsyn/A 10649-2023 tillsynsbegäran.docx", "A 10649-2023")</f>
        <v/>
      </c>
      <c r="Y190">
        <f>HYPERLINK("https://klasma.github.io/Logging_2409/tillsynsmail/A 10649-2023 tillsynsbegäran mail.docx", "A 10649-2023")</f>
        <v/>
      </c>
      <c r="Z190">
        <f>HYPERLINK("https://klasma.github.io/Logging_2409/fåglar/A 10649-2023 prioriterade fågelarter.docx", "A 10649-2023")</f>
        <v/>
      </c>
    </row>
    <row r="191" ht="15" customHeight="1">
      <c r="A191" t="inlineStr">
        <is>
          <t>A 33664-2023</t>
        </is>
      </c>
      <c r="B191" s="1" t="n">
        <v>45119</v>
      </c>
      <c r="C191" s="1" t="n">
        <v>45788</v>
      </c>
      <c r="D191" t="inlineStr">
        <is>
          <t>VÄSTERBOTTENS LÄN</t>
        </is>
      </c>
      <c r="E191" t="inlineStr">
        <is>
          <t>VILHELMINA</t>
        </is>
      </c>
      <c r="F191" t="inlineStr">
        <is>
          <t>Allmännings- och besparingsskogar</t>
        </is>
      </c>
      <c r="G191" t="n">
        <v>1.7</v>
      </c>
      <c r="H191" t="n">
        <v>0</v>
      </c>
      <c r="I191" t="n">
        <v>4</v>
      </c>
      <c r="J191" t="n">
        <v>7</v>
      </c>
      <c r="K191" t="n">
        <v>1</v>
      </c>
      <c r="L191" t="n">
        <v>0</v>
      </c>
      <c r="M191" t="n">
        <v>0</v>
      </c>
      <c r="N191" t="n">
        <v>0</v>
      </c>
      <c r="O191" t="n">
        <v>8</v>
      </c>
      <c r="P191" t="n">
        <v>1</v>
      </c>
      <c r="Q191" t="n">
        <v>12</v>
      </c>
      <c r="R191" s="2" t="inlineStr">
        <is>
          <t>Aspfjädermossa
Garnlav
Granticka
Gränsticka
Skrovellav
Stjärntagging
Ullticka
Vitgrynig nållav
Bårdlav
Kransrams
Stuplav
Vedticka</t>
        </is>
      </c>
      <c r="S191">
        <f>HYPERLINK("https://klasma.github.io/Logging_2462/artfynd/A 33664-2023 artfynd.xlsx", "A 33664-2023")</f>
        <v/>
      </c>
      <c r="T191">
        <f>HYPERLINK("https://klasma.github.io/Logging_2462/kartor/A 33664-2023 karta.png", "A 33664-2023")</f>
        <v/>
      </c>
      <c r="V191">
        <f>HYPERLINK("https://klasma.github.io/Logging_2462/klagomål/A 33664-2023 FSC-klagomål.docx", "A 33664-2023")</f>
        <v/>
      </c>
      <c r="W191">
        <f>HYPERLINK("https://klasma.github.io/Logging_2462/klagomålsmail/A 33664-2023 FSC-klagomål mail.docx", "A 33664-2023")</f>
        <v/>
      </c>
      <c r="X191">
        <f>HYPERLINK("https://klasma.github.io/Logging_2462/tillsyn/A 33664-2023 tillsynsbegäran.docx", "A 33664-2023")</f>
        <v/>
      </c>
      <c r="Y191">
        <f>HYPERLINK("https://klasma.github.io/Logging_2462/tillsynsmail/A 33664-2023 tillsynsbegäran mail.docx", "A 33664-2023")</f>
        <v/>
      </c>
    </row>
    <row r="192" ht="15" customHeight="1">
      <c r="A192" t="inlineStr">
        <is>
          <t>A 39514-2023</t>
        </is>
      </c>
      <c r="B192" s="1" t="n">
        <v>45167</v>
      </c>
      <c r="C192" s="1" t="n">
        <v>45788</v>
      </c>
      <c r="D192" t="inlineStr">
        <is>
          <t>VÄSTERBOTTENS LÄN</t>
        </is>
      </c>
      <c r="E192" t="inlineStr">
        <is>
          <t>ROBERTSFORS</t>
        </is>
      </c>
      <c r="G192" t="n">
        <v>28.6</v>
      </c>
      <c r="H192" t="n">
        <v>1</v>
      </c>
      <c r="I192" t="n">
        <v>4</v>
      </c>
      <c r="J192" t="n">
        <v>7</v>
      </c>
      <c r="K192" t="n">
        <v>1</v>
      </c>
      <c r="L192" t="n">
        <v>0</v>
      </c>
      <c r="M192" t="n">
        <v>0</v>
      </c>
      <c r="N192" t="n">
        <v>0</v>
      </c>
      <c r="O192" t="n">
        <v>8</v>
      </c>
      <c r="P192" t="n">
        <v>1</v>
      </c>
      <c r="Q192" t="n">
        <v>12</v>
      </c>
      <c r="R192" s="2" t="inlineStr">
        <is>
          <t>Sprickporing
Garnlav
Granticka
Gränsticka
Harticka
Stjärntagging
Tretåig hackspett
Ullticka
Blodticka
Mörk husmossa
Vedticka
Vågbandad barkbock</t>
        </is>
      </c>
      <c r="S192">
        <f>HYPERLINK("https://klasma.github.io/Logging_2409/artfynd/A 39514-2023 artfynd.xlsx", "A 39514-2023")</f>
        <v/>
      </c>
      <c r="T192">
        <f>HYPERLINK("https://klasma.github.io/Logging_2409/kartor/A 39514-2023 karta.png", "A 39514-2023")</f>
        <v/>
      </c>
      <c r="V192">
        <f>HYPERLINK("https://klasma.github.io/Logging_2409/klagomål/A 39514-2023 FSC-klagomål.docx", "A 39514-2023")</f>
        <v/>
      </c>
      <c r="W192">
        <f>HYPERLINK("https://klasma.github.io/Logging_2409/klagomålsmail/A 39514-2023 FSC-klagomål mail.docx", "A 39514-2023")</f>
        <v/>
      </c>
      <c r="X192">
        <f>HYPERLINK("https://klasma.github.io/Logging_2409/tillsyn/A 39514-2023 tillsynsbegäran.docx", "A 39514-2023")</f>
        <v/>
      </c>
      <c r="Y192">
        <f>HYPERLINK("https://klasma.github.io/Logging_2409/tillsynsmail/A 39514-2023 tillsynsbegäran mail.docx", "A 39514-2023")</f>
        <v/>
      </c>
      <c r="Z192">
        <f>HYPERLINK("https://klasma.github.io/Logging_2409/fåglar/A 39514-2023 prioriterade fågelarter.docx", "A 39514-2023")</f>
        <v/>
      </c>
    </row>
    <row r="193" ht="15" customHeight="1">
      <c r="A193" t="inlineStr">
        <is>
          <t>A 40113-2023</t>
        </is>
      </c>
      <c r="B193" s="1" t="n">
        <v>45168</v>
      </c>
      <c r="C193" s="1" t="n">
        <v>45788</v>
      </c>
      <c r="D193" t="inlineStr">
        <is>
          <t>VÄSTERBOTTENS LÄN</t>
        </is>
      </c>
      <c r="E193" t="inlineStr">
        <is>
          <t>NORDMALING</t>
        </is>
      </c>
      <c r="F193" t="inlineStr">
        <is>
          <t>SCA</t>
        </is>
      </c>
      <c r="G193" t="n">
        <v>6.1</v>
      </c>
      <c r="H193" t="n">
        <v>3</v>
      </c>
      <c r="I193" t="n">
        <v>2</v>
      </c>
      <c r="J193" t="n">
        <v>7</v>
      </c>
      <c r="K193" t="n">
        <v>2</v>
      </c>
      <c r="L193" t="n">
        <v>0</v>
      </c>
      <c r="M193" t="n">
        <v>0</v>
      </c>
      <c r="N193" t="n">
        <v>0</v>
      </c>
      <c r="O193" t="n">
        <v>9</v>
      </c>
      <c r="P193" t="n">
        <v>2</v>
      </c>
      <c r="Q193" t="n">
        <v>12</v>
      </c>
      <c r="R193" s="2" t="inlineStr">
        <is>
          <t>Knärot
Rynkskinn
Garnlav
Granticka
Leptoporus mollis
Lunglav
Rosenticka
Spillkråka
Ullticka
Bårdlav
Vedticka
Tjäder</t>
        </is>
      </c>
      <c r="S193">
        <f>HYPERLINK("https://klasma.github.io/Logging_2401/artfynd/A 40113-2023 artfynd.xlsx", "A 40113-2023")</f>
        <v/>
      </c>
      <c r="T193">
        <f>HYPERLINK("https://klasma.github.io/Logging_2401/kartor/A 40113-2023 karta.png", "A 40113-2023")</f>
        <v/>
      </c>
      <c r="U193">
        <f>HYPERLINK("https://klasma.github.io/Logging_2401/knärot/A 40113-2023 karta knärot.png", "A 40113-2023")</f>
        <v/>
      </c>
      <c r="V193">
        <f>HYPERLINK("https://klasma.github.io/Logging_2401/klagomål/A 40113-2023 FSC-klagomål.docx", "A 40113-2023")</f>
        <v/>
      </c>
      <c r="W193">
        <f>HYPERLINK("https://klasma.github.io/Logging_2401/klagomålsmail/A 40113-2023 FSC-klagomål mail.docx", "A 40113-2023")</f>
        <v/>
      </c>
      <c r="X193">
        <f>HYPERLINK("https://klasma.github.io/Logging_2401/tillsyn/A 40113-2023 tillsynsbegäran.docx", "A 40113-2023")</f>
        <v/>
      </c>
      <c r="Y193">
        <f>HYPERLINK("https://klasma.github.io/Logging_2401/tillsynsmail/A 40113-2023 tillsynsbegäran mail.docx", "A 40113-2023")</f>
        <v/>
      </c>
      <c r="Z193">
        <f>HYPERLINK("https://klasma.github.io/Logging_2401/fåglar/A 40113-2023 prioriterade fågelarter.docx", "A 40113-2023")</f>
        <v/>
      </c>
    </row>
    <row r="194" ht="15" customHeight="1">
      <c r="A194" t="inlineStr">
        <is>
          <t>A 48216-2023</t>
        </is>
      </c>
      <c r="B194" s="1" t="n">
        <v>45201</v>
      </c>
      <c r="C194" s="1" t="n">
        <v>45788</v>
      </c>
      <c r="D194" t="inlineStr">
        <is>
          <t>VÄSTERBOTTENS LÄN</t>
        </is>
      </c>
      <c r="E194" t="inlineStr">
        <is>
          <t>VILHELMINA</t>
        </is>
      </c>
      <c r="F194" t="inlineStr">
        <is>
          <t>Allmännings- och besparingsskogar</t>
        </is>
      </c>
      <c r="G194" t="n">
        <v>22.2</v>
      </c>
      <c r="H194" t="n">
        <v>3</v>
      </c>
      <c r="I194" t="n">
        <v>2</v>
      </c>
      <c r="J194" t="n">
        <v>8</v>
      </c>
      <c r="K194" t="n">
        <v>1</v>
      </c>
      <c r="L194" t="n">
        <v>0</v>
      </c>
      <c r="M194" t="n">
        <v>0</v>
      </c>
      <c r="N194" t="n">
        <v>0</v>
      </c>
      <c r="O194" t="n">
        <v>9</v>
      </c>
      <c r="P194" t="n">
        <v>1</v>
      </c>
      <c r="Q194" t="n">
        <v>12</v>
      </c>
      <c r="R194" s="2" t="inlineStr">
        <is>
          <t>Ostticka
Doftskinn
Garnlav
Granticka
Rosenticka
Talltita
Tretåig hackspett
Ullticka
Vitgrynig nållav
Trådticka
Vedticka
Lavskrika</t>
        </is>
      </c>
      <c r="S194">
        <f>HYPERLINK("https://klasma.github.io/Logging_2462/artfynd/A 48216-2023 artfynd.xlsx", "A 48216-2023")</f>
        <v/>
      </c>
      <c r="T194">
        <f>HYPERLINK("https://klasma.github.io/Logging_2462/kartor/A 48216-2023 karta.png", "A 48216-2023")</f>
        <v/>
      </c>
      <c r="V194">
        <f>HYPERLINK("https://klasma.github.io/Logging_2462/klagomål/A 48216-2023 FSC-klagomål.docx", "A 48216-2023")</f>
        <v/>
      </c>
      <c r="W194">
        <f>HYPERLINK("https://klasma.github.io/Logging_2462/klagomålsmail/A 48216-2023 FSC-klagomål mail.docx", "A 48216-2023")</f>
        <v/>
      </c>
      <c r="X194">
        <f>HYPERLINK("https://klasma.github.io/Logging_2462/tillsyn/A 48216-2023 tillsynsbegäran.docx", "A 48216-2023")</f>
        <v/>
      </c>
      <c r="Y194">
        <f>HYPERLINK("https://klasma.github.io/Logging_2462/tillsynsmail/A 48216-2023 tillsynsbegäran mail.docx", "A 48216-2023")</f>
        <v/>
      </c>
      <c r="Z194">
        <f>HYPERLINK("https://klasma.github.io/Logging_2462/fåglar/A 48216-2023 prioriterade fågelarter.docx", "A 48216-2023")</f>
        <v/>
      </c>
    </row>
    <row r="195" ht="15" customHeight="1">
      <c r="A195" t="inlineStr">
        <is>
          <t>A 48330-2023</t>
        </is>
      </c>
      <c r="B195" s="1" t="n">
        <v>45205</v>
      </c>
      <c r="C195" s="1" t="n">
        <v>45788</v>
      </c>
      <c r="D195" t="inlineStr">
        <is>
          <t>VÄSTERBOTTENS LÄN</t>
        </is>
      </c>
      <c r="E195" t="inlineStr">
        <is>
          <t>BJURHOLM</t>
        </is>
      </c>
      <c r="G195" t="n">
        <v>8</v>
      </c>
      <c r="H195" t="n">
        <v>1</v>
      </c>
      <c r="I195" t="n">
        <v>5</v>
      </c>
      <c r="J195" t="n">
        <v>6</v>
      </c>
      <c r="K195" t="n">
        <v>1</v>
      </c>
      <c r="L195" t="n">
        <v>0</v>
      </c>
      <c r="M195" t="n">
        <v>0</v>
      </c>
      <c r="N195" t="n">
        <v>0</v>
      </c>
      <c r="O195" t="n">
        <v>7</v>
      </c>
      <c r="P195" t="n">
        <v>1</v>
      </c>
      <c r="Q195" t="n">
        <v>12</v>
      </c>
      <c r="R195" s="2" t="inlineStr">
        <is>
          <t>Knärot
Gammelgransskål
Garnlav
Granticka
Lunglav
Ullticka
Violettgrå tagellav
Bollvitmossa
Bårdlav
Luddlav
Stuplav
Vedticka</t>
        </is>
      </c>
      <c r="S195">
        <f>HYPERLINK("https://klasma.github.io/Logging_2403/artfynd/A 48330-2023 artfynd.xlsx", "A 48330-2023")</f>
        <v/>
      </c>
      <c r="T195">
        <f>HYPERLINK("https://klasma.github.io/Logging_2403/kartor/A 48330-2023 karta.png", "A 48330-2023")</f>
        <v/>
      </c>
      <c r="U195">
        <f>HYPERLINK("https://klasma.github.io/Logging_2403/knärot/A 48330-2023 karta knärot.png", "A 48330-2023")</f>
        <v/>
      </c>
      <c r="V195">
        <f>HYPERLINK("https://klasma.github.io/Logging_2403/klagomål/A 48330-2023 FSC-klagomål.docx", "A 48330-2023")</f>
        <v/>
      </c>
      <c r="W195">
        <f>HYPERLINK("https://klasma.github.io/Logging_2403/klagomålsmail/A 48330-2023 FSC-klagomål mail.docx", "A 48330-2023")</f>
        <v/>
      </c>
      <c r="X195">
        <f>HYPERLINK("https://klasma.github.io/Logging_2403/tillsyn/A 48330-2023 tillsynsbegäran.docx", "A 48330-2023")</f>
        <v/>
      </c>
      <c r="Y195">
        <f>HYPERLINK("https://klasma.github.io/Logging_2403/tillsynsmail/A 48330-2023 tillsynsbegäran mail.docx", "A 48330-2023")</f>
        <v/>
      </c>
    </row>
    <row r="196" ht="15" customHeight="1">
      <c r="A196" t="inlineStr">
        <is>
          <t>A 63257-2023</t>
        </is>
      </c>
      <c r="B196" s="1" t="n">
        <v>45273</v>
      </c>
      <c r="C196" s="1" t="n">
        <v>45788</v>
      </c>
      <c r="D196" t="inlineStr">
        <is>
          <t>VÄSTERBOTTENS LÄN</t>
        </is>
      </c>
      <c r="E196" t="inlineStr">
        <is>
          <t>NORDMALING</t>
        </is>
      </c>
      <c r="G196" t="n">
        <v>9.300000000000001</v>
      </c>
      <c r="H196" t="n">
        <v>0</v>
      </c>
      <c r="I196" t="n">
        <v>1</v>
      </c>
      <c r="J196" t="n">
        <v>10</v>
      </c>
      <c r="K196" t="n">
        <v>1</v>
      </c>
      <c r="L196" t="n">
        <v>0</v>
      </c>
      <c r="M196" t="n">
        <v>0</v>
      </c>
      <c r="N196" t="n">
        <v>0</v>
      </c>
      <c r="O196" t="n">
        <v>11</v>
      </c>
      <c r="P196" t="n">
        <v>1</v>
      </c>
      <c r="Q196" t="n">
        <v>12</v>
      </c>
      <c r="R196" s="2" t="inlineStr">
        <is>
          <t>Goliatmusseron
Garnlav
Granticka
Kolflarnlav
Mörk kolflarnlav
Reliktbock
Svart taggsvamp
Svartvit taggsvamp
Tallticka
Vedflamlav
Vedskivlav
Skarp dropptaggsvamp</t>
        </is>
      </c>
      <c r="S196">
        <f>HYPERLINK("https://klasma.github.io/Logging_2401/artfynd/A 63257-2023 artfynd.xlsx", "A 63257-2023")</f>
        <v/>
      </c>
      <c r="T196">
        <f>HYPERLINK("https://klasma.github.io/Logging_2401/kartor/A 63257-2023 karta.png", "A 63257-2023")</f>
        <v/>
      </c>
      <c r="V196">
        <f>HYPERLINK("https://klasma.github.io/Logging_2401/klagomål/A 63257-2023 FSC-klagomål.docx", "A 63257-2023")</f>
        <v/>
      </c>
      <c r="W196">
        <f>HYPERLINK("https://klasma.github.io/Logging_2401/klagomålsmail/A 63257-2023 FSC-klagomål mail.docx", "A 63257-2023")</f>
        <v/>
      </c>
      <c r="X196">
        <f>HYPERLINK("https://klasma.github.io/Logging_2401/tillsyn/A 63257-2023 tillsynsbegäran.docx", "A 63257-2023")</f>
        <v/>
      </c>
      <c r="Y196">
        <f>HYPERLINK("https://klasma.github.io/Logging_2401/tillsynsmail/A 63257-2023 tillsynsbegäran mail.docx", "A 63257-2023")</f>
        <v/>
      </c>
    </row>
    <row r="197" ht="15" customHeight="1">
      <c r="A197" t="inlineStr">
        <is>
          <t>A 22161-2024</t>
        </is>
      </c>
      <c r="B197" s="1" t="n">
        <v>45443</v>
      </c>
      <c r="C197" s="1" t="n">
        <v>45788</v>
      </c>
      <c r="D197" t="inlineStr">
        <is>
          <t>VÄSTERBOTTENS LÄN</t>
        </is>
      </c>
      <c r="E197" t="inlineStr">
        <is>
          <t>VILHELMINA</t>
        </is>
      </c>
      <c r="F197" t="inlineStr">
        <is>
          <t>Allmännings- och besparingsskogar</t>
        </is>
      </c>
      <c r="G197" t="n">
        <v>11.2</v>
      </c>
      <c r="H197" t="n">
        <v>3</v>
      </c>
      <c r="I197" t="n">
        <v>1</v>
      </c>
      <c r="J197" t="n">
        <v>10</v>
      </c>
      <c r="K197" t="n">
        <v>0</v>
      </c>
      <c r="L197" t="n">
        <v>0</v>
      </c>
      <c r="M197" t="n">
        <v>0</v>
      </c>
      <c r="N197" t="n">
        <v>0</v>
      </c>
      <c r="O197" t="n">
        <v>10</v>
      </c>
      <c r="P197" t="n">
        <v>0</v>
      </c>
      <c r="Q197" t="n">
        <v>12</v>
      </c>
      <c r="R197" s="2" t="inlineStr">
        <is>
          <t>Brunpudrad nållav
Garnlav
Granticka
Gränsticka
Harticka
Järpe
Knottrig blåslav
Liten svartspik
Tretåig hackspett
Vitgrynig nållav
Vedticka
Revlummer</t>
        </is>
      </c>
      <c r="S197">
        <f>HYPERLINK("https://klasma.github.io/Logging_2462/artfynd/A 22161-2024 artfynd.xlsx", "A 22161-2024")</f>
        <v/>
      </c>
      <c r="T197">
        <f>HYPERLINK("https://klasma.github.io/Logging_2462/kartor/A 22161-2024 karta.png", "A 22161-2024")</f>
        <v/>
      </c>
      <c r="V197">
        <f>HYPERLINK("https://klasma.github.io/Logging_2462/klagomål/A 22161-2024 FSC-klagomål.docx", "A 22161-2024")</f>
        <v/>
      </c>
      <c r="W197">
        <f>HYPERLINK("https://klasma.github.io/Logging_2462/klagomålsmail/A 22161-2024 FSC-klagomål mail.docx", "A 22161-2024")</f>
        <v/>
      </c>
      <c r="X197">
        <f>HYPERLINK("https://klasma.github.io/Logging_2462/tillsyn/A 22161-2024 tillsynsbegäran.docx", "A 22161-2024")</f>
        <v/>
      </c>
      <c r="Y197">
        <f>HYPERLINK("https://klasma.github.io/Logging_2462/tillsynsmail/A 22161-2024 tillsynsbegäran mail.docx", "A 22161-2024")</f>
        <v/>
      </c>
      <c r="Z197">
        <f>HYPERLINK("https://klasma.github.io/Logging_2462/fåglar/A 22161-2024 prioriterade fågelarter.docx", "A 22161-2024")</f>
        <v/>
      </c>
    </row>
    <row r="198" ht="15" customHeight="1">
      <c r="A198" t="inlineStr">
        <is>
          <t>A 23121-2024</t>
        </is>
      </c>
      <c r="B198" s="1" t="n">
        <v>45450</v>
      </c>
      <c r="C198" s="1" t="n">
        <v>45788</v>
      </c>
      <c r="D198" t="inlineStr">
        <is>
          <t>VÄSTERBOTTENS LÄN</t>
        </is>
      </c>
      <c r="E198" t="inlineStr">
        <is>
          <t>BJURHOLM</t>
        </is>
      </c>
      <c r="G198" t="n">
        <v>7.6</v>
      </c>
      <c r="H198" t="n">
        <v>2</v>
      </c>
      <c r="I198" t="n">
        <v>4</v>
      </c>
      <c r="J198" t="n">
        <v>6</v>
      </c>
      <c r="K198" t="n">
        <v>2</v>
      </c>
      <c r="L198" t="n">
        <v>0</v>
      </c>
      <c r="M198" t="n">
        <v>0</v>
      </c>
      <c r="N198" t="n">
        <v>0</v>
      </c>
      <c r="O198" t="n">
        <v>8</v>
      </c>
      <c r="P198" t="n">
        <v>2</v>
      </c>
      <c r="Q198" t="n">
        <v>12</v>
      </c>
      <c r="R198" s="2" t="inlineStr">
        <is>
          <t>Knärot
Rynkskinn
Garnlav
Granticka
Lunglav
Tretåig hackspett
Ullticka
Veckticka
Bårdlav
Luddlav
Skinnlav
Stuplav</t>
        </is>
      </c>
      <c r="S198">
        <f>HYPERLINK("https://klasma.github.io/Logging_2403/artfynd/A 23121-2024 artfynd.xlsx", "A 23121-2024")</f>
        <v/>
      </c>
      <c r="T198">
        <f>HYPERLINK("https://klasma.github.io/Logging_2403/kartor/A 23121-2024 karta.png", "A 23121-2024")</f>
        <v/>
      </c>
      <c r="U198">
        <f>HYPERLINK("https://klasma.github.io/Logging_2403/knärot/A 23121-2024 karta knärot.png", "A 23121-2024")</f>
        <v/>
      </c>
      <c r="V198">
        <f>HYPERLINK("https://klasma.github.io/Logging_2403/klagomål/A 23121-2024 FSC-klagomål.docx", "A 23121-2024")</f>
        <v/>
      </c>
      <c r="W198">
        <f>HYPERLINK("https://klasma.github.io/Logging_2403/klagomålsmail/A 23121-2024 FSC-klagomål mail.docx", "A 23121-2024")</f>
        <v/>
      </c>
      <c r="X198">
        <f>HYPERLINK("https://klasma.github.io/Logging_2403/tillsyn/A 23121-2024 tillsynsbegäran.docx", "A 23121-2024")</f>
        <v/>
      </c>
      <c r="Y198">
        <f>HYPERLINK("https://klasma.github.io/Logging_2403/tillsynsmail/A 23121-2024 tillsynsbegäran mail.docx", "A 23121-2024")</f>
        <v/>
      </c>
      <c r="Z198">
        <f>HYPERLINK("https://klasma.github.io/Logging_2403/fåglar/A 23121-2024 prioriterade fågelarter.docx", "A 23121-2024")</f>
        <v/>
      </c>
    </row>
    <row r="199" ht="15" customHeight="1">
      <c r="A199" t="inlineStr">
        <is>
          <t>A 33647-2024</t>
        </is>
      </c>
      <c r="B199" s="1" t="n">
        <v>45520</v>
      </c>
      <c r="C199" s="1" t="n">
        <v>45788</v>
      </c>
      <c r="D199" t="inlineStr">
        <is>
          <t>VÄSTERBOTTENS LÄN</t>
        </is>
      </c>
      <c r="E199" t="inlineStr">
        <is>
          <t>LYCKSELE</t>
        </is>
      </c>
      <c r="F199" t="inlineStr">
        <is>
          <t>Sveaskog</t>
        </is>
      </c>
      <c r="G199" t="n">
        <v>15</v>
      </c>
      <c r="H199" t="n">
        <v>1</v>
      </c>
      <c r="I199" t="n">
        <v>6</v>
      </c>
      <c r="J199" t="n">
        <v>5</v>
      </c>
      <c r="K199" t="n">
        <v>1</v>
      </c>
      <c r="L199" t="n">
        <v>0</v>
      </c>
      <c r="M199" t="n">
        <v>0</v>
      </c>
      <c r="N199" t="n">
        <v>0</v>
      </c>
      <c r="O199" t="n">
        <v>6</v>
      </c>
      <c r="P199" t="n">
        <v>1</v>
      </c>
      <c r="Q199" t="n">
        <v>12</v>
      </c>
      <c r="R199" s="2" t="inlineStr">
        <is>
          <t>Knärot
Garnlav
Lunglav
Rödbrun klubbdyna
Skorpgelélav
Ullticka
Bollvitmossa
Bårdlav
Luddlav
Skinnlav
Stuplav
Ögonpyrola</t>
        </is>
      </c>
      <c r="S199">
        <f>HYPERLINK("https://klasma.github.io/Logging_2481/artfynd/A 33647-2024 artfynd.xlsx", "A 33647-2024")</f>
        <v/>
      </c>
      <c r="T199">
        <f>HYPERLINK("https://klasma.github.io/Logging_2481/kartor/A 33647-2024 karta.png", "A 33647-2024")</f>
        <v/>
      </c>
      <c r="U199">
        <f>HYPERLINK("https://klasma.github.io/Logging_2481/knärot/A 33647-2024 karta knärot.png", "A 33647-2024")</f>
        <v/>
      </c>
      <c r="V199">
        <f>HYPERLINK("https://klasma.github.io/Logging_2481/klagomål/A 33647-2024 FSC-klagomål.docx", "A 33647-2024")</f>
        <v/>
      </c>
      <c r="W199">
        <f>HYPERLINK("https://klasma.github.io/Logging_2481/klagomålsmail/A 33647-2024 FSC-klagomål mail.docx", "A 33647-2024")</f>
        <v/>
      </c>
      <c r="X199">
        <f>HYPERLINK("https://klasma.github.io/Logging_2481/tillsyn/A 33647-2024 tillsynsbegäran.docx", "A 33647-2024")</f>
        <v/>
      </c>
      <c r="Y199">
        <f>HYPERLINK("https://klasma.github.io/Logging_2481/tillsynsmail/A 33647-2024 tillsynsbegäran mail.docx", "A 33647-2024")</f>
        <v/>
      </c>
    </row>
    <row r="200" ht="15" customHeight="1">
      <c r="A200" t="inlineStr">
        <is>
          <t>A 40984-2024</t>
        </is>
      </c>
      <c r="B200" s="1" t="n">
        <v>45558</v>
      </c>
      <c r="C200" s="1" t="n">
        <v>45788</v>
      </c>
      <c r="D200" t="inlineStr">
        <is>
          <t>VÄSTERBOTTENS LÄN</t>
        </is>
      </c>
      <c r="E200" t="inlineStr">
        <is>
          <t>VILHELMINA</t>
        </is>
      </c>
      <c r="F200" t="inlineStr">
        <is>
          <t>Allmännings- och besparingsskogar</t>
        </is>
      </c>
      <c r="G200" t="n">
        <v>12.3</v>
      </c>
      <c r="H200" t="n">
        <v>2</v>
      </c>
      <c r="I200" t="n">
        <v>3</v>
      </c>
      <c r="J200" t="n">
        <v>8</v>
      </c>
      <c r="K200" t="n">
        <v>0</v>
      </c>
      <c r="L200" t="n">
        <v>0</v>
      </c>
      <c r="M200" t="n">
        <v>0</v>
      </c>
      <c r="N200" t="n">
        <v>0</v>
      </c>
      <c r="O200" t="n">
        <v>8</v>
      </c>
      <c r="P200" t="n">
        <v>0</v>
      </c>
      <c r="Q200" t="n">
        <v>12</v>
      </c>
      <c r="R200" s="2" t="inlineStr">
        <is>
          <t>Gammelgransskål
Garnlav
Granticka
Gränsticka
Harticka
Skrovellav
Talltita
Ullticka
Bårdlav
Luddlav
Stuplav
Lavskrika</t>
        </is>
      </c>
      <c r="S200">
        <f>HYPERLINK("https://klasma.github.io/Logging_2462/artfynd/A 40984-2024 artfynd.xlsx", "A 40984-2024")</f>
        <v/>
      </c>
      <c r="T200">
        <f>HYPERLINK("https://klasma.github.io/Logging_2462/kartor/A 40984-2024 karta.png", "A 40984-2024")</f>
        <v/>
      </c>
      <c r="V200">
        <f>HYPERLINK("https://klasma.github.io/Logging_2462/klagomål/A 40984-2024 FSC-klagomål.docx", "A 40984-2024")</f>
        <v/>
      </c>
      <c r="W200">
        <f>HYPERLINK("https://klasma.github.io/Logging_2462/klagomålsmail/A 40984-2024 FSC-klagomål mail.docx", "A 40984-2024")</f>
        <v/>
      </c>
      <c r="X200">
        <f>HYPERLINK("https://klasma.github.io/Logging_2462/tillsyn/A 40984-2024 tillsynsbegäran.docx", "A 40984-2024")</f>
        <v/>
      </c>
      <c r="Y200">
        <f>HYPERLINK("https://klasma.github.io/Logging_2462/tillsynsmail/A 40984-2024 tillsynsbegäran mail.docx", "A 40984-2024")</f>
        <v/>
      </c>
      <c r="Z200">
        <f>HYPERLINK("https://klasma.github.io/Logging_2462/fåglar/A 40984-2024 prioriterade fågelarter.docx", "A 40984-2024")</f>
        <v/>
      </c>
    </row>
    <row r="201" ht="15" customHeight="1">
      <c r="A201" t="inlineStr">
        <is>
          <t>A 51874-2024</t>
        </is>
      </c>
      <c r="B201" s="1" t="n">
        <v>45607</v>
      </c>
      <c r="C201" s="1" t="n">
        <v>45788</v>
      </c>
      <c r="D201" t="inlineStr">
        <is>
          <t>VÄSTERBOTTENS LÄN</t>
        </is>
      </c>
      <c r="E201" t="inlineStr">
        <is>
          <t>BJURHOLM</t>
        </is>
      </c>
      <c r="G201" t="n">
        <v>6.1</v>
      </c>
      <c r="H201" t="n">
        <v>4</v>
      </c>
      <c r="I201" t="n">
        <v>3</v>
      </c>
      <c r="J201" t="n">
        <v>8</v>
      </c>
      <c r="K201" t="n">
        <v>0</v>
      </c>
      <c r="L201" t="n">
        <v>0</v>
      </c>
      <c r="M201" t="n">
        <v>0</v>
      </c>
      <c r="N201" t="n">
        <v>0</v>
      </c>
      <c r="O201" t="n">
        <v>8</v>
      </c>
      <c r="P201" t="n">
        <v>0</v>
      </c>
      <c r="Q201" t="n">
        <v>12</v>
      </c>
      <c r="R201" s="2" t="inlineStr">
        <is>
          <t>Gammelgransskål
Garnlav
Granticka
Lunglav
Spillkråka
Talltita
Tretåig hackspett
Ullticka
Bårdlav
Skör kvastmossa
Stuplav
Lavskrika</t>
        </is>
      </c>
      <c r="S201">
        <f>HYPERLINK("https://klasma.github.io/Logging_2403/artfynd/A 51874-2024 artfynd.xlsx", "A 51874-2024")</f>
        <v/>
      </c>
      <c r="T201">
        <f>HYPERLINK("https://klasma.github.io/Logging_2403/kartor/A 51874-2024 karta.png", "A 51874-2024")</f>
        <v/>
      </c>
      <c r="V201">
        <f>HYPERLINK("https://klasma.github.io/Logging_2403/klagomål/A 51874-2024 FSC-klagomål.docx", "A 51874-2024")</f>
        <v/>
      </c>
      <c r="W201">
        <f>HYPERLINK("https://klasma.github.io/Logging_2403/klagomålsmail/A 51874-2024 FSC-klagomål mail.docx", "A 51874-2024")</f>
        <v/>
      </c>
      <c r="X201">
        <f>HYPERLINK("https://klasma.github.io/Logging_2403/tillsyn/A 51874-2024 tillsynsbegäran.docx", "A 51874-2024")</f>
        <v/>
      </c>
      <c r="Y201">
        <f>HYPERLINK("https://klasma.github.io/Logging_2403/tillsynsmail/A 51874-2024 tillsynsbegäran mail.docx", "A 51874-2024")</f>
        <v/>
      </c>
      <c r="Z201">
        <f>HYPERLINK("https://klasma.github.io/Logging_2403/fåglar/A 51874-2024 prioriterade fågelarter.docx", "A 51874-2024")</f>
        <v/>
      </c>
    </row>
    <row r="202" ht="15" customHeight="1">
      <c r="A202" t="inlineStr">
        <is>
          <t>A 55308-2024</t>
        </is>
      </c>
      <c r="B202" s="1" t="n">
        <v>45621</v>
      </c>
      <c r="C202" s="1" t="n">
        <v>45788</v>
      </c>
      <c r="D202" t="inlineStr">
        <is>
          <t>VÄSTERBOTTENS LÄN</t>
        </is>
      </c>
      <c r="E202" t="inlineStr">
        <is>
          <t>LYCKSELE</t>
        </is>
      </c>
      <c r="F202" t="inlineStr">
        <is>
          <t>Sveaskog</t>
        </is>
      </c>
      <c r="G202" t="n">
        <v>6.3</v>
      </c>
      <c r="H202" t="n">
        <v>1</v>
      </c>
      <c r="I202" t="n">
        <v>0</v>
      </c>
      <c r="J202" t="n">
        <v>11</v>
      </c>
      <c r="K202" t="n">
        <v>1</v>
      </c>
      <c r="L202" t="n">
        <v>0</v>
      </c>
      <c r="M202" t="n">
        <v>0</v>
      </c>
      <c r="N202" t="n">
        <v>0</v>
      </c>
      <c r="O202" t="n">
        <v>12</v>
      </c>
      <c r="P202" t="n">
        <v>1</v>
      </c>
      <c r="Q202" t="n">
        <v>12</v>
      </c>
      <c r="R202" s="2" t="inlineStr">
        <is>
          <t>Rynkskinn
Brunpudrad nållav
Gammelgransskål
Garnlav
Granticka
Gultoppig fingersvamp
Motaggsvamp
Spillkråka
Stjärntagging
Ullticka
Vedskivlav
Violmussling</t>
        </is>
      </c>
      <c r="S202">
        <f>HYPERLINK("https://klasma.github.io/Logging_2481/artfynd/A 55308-2024 artfynd.xlsx", "A 55308-2024")</f>
        <v/>
      </c>
      <c r="T202">
        <f>HYPERLINK("https://klasma.github.io/Logging_2481/kartor/A 55308-2024 karta.png", "A 55308-2024")</f>
        <v/>
      </c>
      <c r="V202">
        <f>HYPERLINK("https://klasma.github.io/Logging_2481/klagomål/A 55308-2024 FSC-klagomål.docx", "A 55308-2024")</f>
        <v/>
      </c>
      <c r="W202">
        <f>HYPERLINK("https://klasma.github.io/Logging_2481/klagomålsmail/A 55308-2024 FSC-klagomål mail.docx", "A 55308-2024")</f>
        <v/>
      </c>
      <c r="X202">
        <f>HYPERLINK("https://klasma.github.io/Logging_2481/tillsyn/A 55308-2024 tillsynsbegäran.docx", "A 55308-2024")</f>
        <v/>
      </c>
      <c r="Y202">
        <f>HYPERLINK("https://klasma.github.io/Logging_2481/tillsynsmail/A 55308-2024 tillsynsbegäran mail.docx", "A 55308-2024")</f>
        <v/>
      </c>
      <c r="Z202">
        <f>HYPERLINK("https://klasma.github.io/Logging_2481/fåglar/A 55308-2024 prioriterade fågelarter.docx", "A 55308-2024")</f>
        <v/>
      </c>
    </row>
    <row r="203" ht="15" customHeight="1">
      <c r="A203" t="inlineStr">
        <is>
          <t>A 59039-2024</t>
        </is>
      </c>
      <c r="B203" s="1" t="n">
        <v>45636</v>
      </c>
      <c r="C203" s="1" t="n">
        <v>45788</v>
      </c>
      <c r="D203" t="inlineStr">
        <is>
          <t>VÄSTERBOTTENS LÄN</t>
        </is>
      </c>
      <c r="E203" t="inlineStr">
        <is>
          <t>VILHELMINA</t>
        </is>
      </c>
      <c r="F203" t="inlineStr">
        <is>
          <t>Allmännings- och besparingsskogar</t>
        </is>
      </c>
      <c r="G203" t="n">
        <v>71.3</v>
      </c>
      <c r="H203" t="n">
        <v>2</v>
      </c>
      <c r="I203" t="n">
        <v>2</v>
      </c>
      <c r="J203" t="n">
        <v>9</v>
      </c>
      <c r="K203" t="n">
        <v>0</v>
      </c>
      <c r="L203" t="n">
        <v>0</v>
      </c>
      <c r="M203" t="n">
        <v>0</v>
      </c>
      <c r="N203" t="n">
        <v>0</v>
      </c>
      <c r="O203" t="n">
        <v>9</v>
      </c>
      <c r="P203" t="n">
        <v>0</v>
      </c>
      <c r="Q203" t="n">
        <v>12</v>
      </c>
      <c r="R203" s="2" t="inlineStr">
        <is>
          <t>Gammelgransskål
Garnlav
Granticka
Gränsticka
Harticka
Rosenticka
Ullticka
Vitgrynig nållav
Vitskaftad svartspik
Spindelblomster
Vedticka
Lavskrika</t>
        </is>
      </c>
      <c r="S203">
        <f>HYPERLINK("https://klasma.github.io/Logging_2462/artfynd/A 59039-2024 artfynd.xlsx", "A 59039-2024")</f>
        <v/>
      </c>
      <c r="T203">
        <f>HYPERLINK("https://klasma.github.io/Logging_2462/kartor/A 59039-2024 karta.png", "A 59039-2024")</f>
        <v/>
      </c>
      <c r="V203">
        <f>HYPERLINK("https://klasma.github.io/Logging_2462/klagomål/A 59039-2024 FSC-klagomål.docx", "A 59039-2024")</f>
        <v/>
      </c>
      <c r="W203">
        <f>HYPERLINK("https://klasma.github.io/Logging_2462/klagomålsmail/A 59039-2024 FSC-klagomål mail.docx", "A 59039-2024")</f>
        <v/>
      </c>
      <c r="X203">
        <f>HYPERLINK("https://klasma.github.io/Logging_2462/tillsyn/A 59039-2024 tillsynsbegäran.docx", "A 59039-2024")</f>
        <v/>
      </c>
      <c r="Y203">
        <f>HYPERLINK("https://klasma.github.io/Logging_2462/tillsynsmail/A 59039-2024 tillsynsbegäran mail.docx", "A 59039-2024")</f>
        <v/>
      </c>
      <c r="Z203">
        <f>HYPERLINK("https://klasma.github.io/Logging_2462/fåglar/A 59039-2024 prioriterade fågelarter.docx", "A 59039-2024")</f>
        <v/>
      </c>
    </row>
    <row r="204" ht="15" customHeight="1">
      <c r="A204" t="inlineStr">
        <is>
          <t>A 14646-2025</t>
        </is>
      </c>
      <c r="B204" s="1" t="n">
        <v>45742</v>
      </c>
      <c r="C204" s="1" t="n">
        <v>45788</v>
      </c>
      <c r="D204" t="inlineStr">
        <is>
          <t>VÄSTERBOTTENS LÄN</t>
        </is>
      </c>
      <c r="E204" t="inlineStr">
        <is>
          <t>BJURHOLM</t>
        </is>
      </c>
      <c r="G204" t="n">
        <v>14.8</v>
      </c>
      <c r="H204" t="n">
        <v>5</v>
      </c>
      <c r="I204" t="n">
        <v>2</v>
      </c>
      <c r="J204" t="n">
        <v>6</v>
      </c>
      <c r="K204" t="n">
        <v>1</v>
      </c>
      <c r="L204" t="n">
        <v>0</v>
      </c>
      <c r="M204" t="n">
        <v>0</v>
      </c>
      <c r="N204" t="n">
        <v>0</v>
      </c>
      <c r="O204" t="n">
        <v>7</v>
      </c>
      <c r="P204" t="n">
        <v>1</v>
      </c>
      <c r="Q204" t="n">
        <v>12</v>
      </c>
      <c r="R204" s="2" t="inlineStr">
        <is>
          <t>Knärot
Garnlav
Granticka
Lunglav
Spillkråka
Ullticka
Violettgrå tagellav
Stuplav
Vedticka
Tjäder
Fläcknycklar
Nattviol</t>
        </is>
      </c>
      <c r="S204">
        <f>HYPERLINK("https://klasma.github.io/Logging_242403/artfynd/A 14646-2025 artfynd.xlsx", "A 14646-2025")</f>
        <v/>
      </c>
      <c r="T204">
        <f>HYPERLINK("https://klasma.github.io/Logging_242403/kartor/A 14646-2025 karta.png", "A 14646-2025")</f>
        <v/>
      </c>
      <c r="U204">
        <f>HYPERLINK("https://klasma.github.io/Logging_242403/knärot/A 14646-2025 karta knärot.png", "A 14646-2025")</f>
        <v/>
      </c>
      <c r="V204">
        <f>HYPERLINK("https://klasma.github.io/Logging_242403/klagomål/A 14646-2025 FSC-klagomål.docx", "A 14646-2025")</f>
        <v/>
      </c>
      <c r="W204">
        <f>HYPERLINK("https://klasma.github.io/Logging_242403/klagomålsmail/A 14646-2025 FSC-klagomål mail.docx", "A 14646-2025")</f>
        <v/>
      </c>
      <c r="X204">
        <f>HYPERLINK("https://klasma.github.io/Logging_242403/tillsyn/A 14646-2025 tillsynsbegäran.docx", "A 14646-2025")</f>
        <v/>
      </c>
      <c r="Y204">
        <f>HYPERLINK("https://klasma.github.io/Logging_242403/tillsynsmail/A 14646-2025 tillsynsbegäran mail.docx", "A 14646-2025")</f>
        <v/>
      </c>
      <c r="Z204">
        <f>HYPERLINK("https://klasma.github.io/Logging_242403/fåglar/A 14646-2025 prioriterade fågelarter.docx", "A 14646-2025")</f>
        <v/>
      </c>
    </row>
    <row r="205" ht="15" customHeight="1">
      <c r="A205" t="inlineStr">
        <is>
          <t>A 31252-2019</t>
        </is>
      </c>
      <c r="B205" s="1" t="n">
        <v>43640</v>
      </c>
      <c r="C205" s="1" t="n">
        <v>45788</v>
      </c>
      <c r="D205" t="inlineStr">
        <is>
          <t>VÄSTERBOTTENS LÄN</t>
        </is>
      </c>
      <c r="E205" t="inlineStr">
        <is>
          <t>UMEÅ</t>
        </is>
      </c>
      <c r="G205" t="n">
        <v>9</v>
      </c>
      <c r="H205" t="n">
        <v>0</v>
      </c>
      <c r="I205" t="n">
        <v>3</v>
      </c>
      <c r="J205" t="n">
        <v>8</v>
      </c>
      <c r="K205" t="n">
        <v>0</v>
      </c>
      <c r="L205" t="n">
        <v>0</v>
      </c>
      <c r="M205" t="n">
        <v>0</v>
      </c>
      <c r="N205" t="n">
        <v>0</v>
      </c>
      <c r="O205" t="n">
        <v>8</v>
      </c>
      <c r="P205" t="n">
        <v>0</v>
      </c>
      <c r="Q205" t="n">
        <v>11</v>
      </c>
      <c r="R205" s="2" t="inlineStr">
        <is>
          <t>Blågrå svartspik
Gammelgransskål
Garnlav
Granticka
Gränsticka
Svartvit taggsvamp
Ullticka
Veckticka
Dropptaggsvamp
Stuplav
Vågbandad barkbock</t>
        </is>
      </c>
      <c r="S205">
        <f>HYPERLINK("https://klasma.github.io/Logging_2480/artfynd/A 31252-2019 artfynd.xlsx", "A 31252-2019")</f>
        <v/>
      </c>
      <c r="T205">
        <f>HYPERLINK("https://klasma.github.io/Logging_2480/kartor/A 31252-2019 karta.png", "A 31252-2019")</f>
        <v/>
      </c>
      <c r="V205">
        <f>HYPERLINK("https://klasma.github.io/Logging_2480/klagomål/A 31252-2019 FSC-klagomål.docx", "A 31252-2019")</f>
        <v/>
      </c>
      <c r="W205">
        <f>HYPERLINK("https://klasma.github.io/Logging_2480/klagomålsmail/A 31252-2019 FSC-klagomål mail.docx", "A 31252-2019")</f>
        <v/>
      </c>
      <c r="X205">
        <f>HYPERLINK("https://klasma.github.io/Logging_2480/tillsyn/A 31252-2019 tillsynsbegäran.docx", "A 31252-2019")</f>
        <v/>
      </c>
      <c r="Y205">
        <f>HYPERLINK("https://klasma.github.io/Logging_2480/tillsynsmail/A 31252-2019 tillsynsbegäran mail.docx", "A 31252-2019")</f>
        <v/>
      </c>
    </row>
    <row r="206" ht="15" customHeight="1">
      <c r="A206" t="inlineStr">
        <is>
          <t>A 34371-2019</t>
        </is>
      </c>
      <c r="B206" s="1" t="n">
        <v>43648</v>
      </c>
      <c r="C206" s="1" t="n">
        <v>45788</v>
      </c>
      <c r="D206" t="inlineStr">
        <is>
          <t>VÄSTERBOTTENS LÄN</t>
        </is>
      </c>
      <c r="E206" t="inlineStr">
        <is>
          <t>SORSELE</t>
        </is>
      </c>
      <c r="F206" t="inlineStr">
        <is>
          <t>Allmännings- och besparingsskogar</t>
        </is>
      </c>
      <c r="G206" t="n">
        <v>20.7</v>
      </c>
      <c r="H206" t="n">
        <v>1</v>
      </c>
      <c r="I206" t="n">
        <v>1</v>
      </c>
      <c r="J206" t="n">
        <v>7</v>
      </c>
      <c r="K206" t="n">
        <v>3</v>
      </c>
      <c r="L206" t="n">
        <v>0</v>
      </c>
      <c r="M206" t="n">
        <v>0</v>
      </c>
      <c r="N206" t="n">
        <v>0</v>
      </c>
      <c r="O206" t="n">
        <v>10</v>
      </c>
      <c r="P206" t="n">
        <v>3</v>
      </c>
      <c r="Q206" t="n">
        <v>11</v>
      </c>
      <c r="R206" s="2" t="inlineStr">
        <is>
          <t>Lappticka
Liten sotlav
Ostticka
Doftskinn
Garnlav
Granticka
Rosenticka
Skrovellav
Tretåig hackspett
Ullticka
Stuplav</t>
        </is>
      </c>
      <c r="S206">
        <f>HYPERLINK("https://klasma.github.io/Logging_2422/artfynd/A 34371-2019 artfynd.xlsx", "A 34371-2019")</f>
        <v/>
      </c>
      <c r="T206">
        <f>HYPERLINK("https://klasma.github.io/Logging_2422/kartor/A 34371-2019 karta.png", "A 34371-2019")</f>
        <v/>
      </c>
      <c r="V206">
        <f>HYPERLINK("https://klasma.github.io/Logging_2422/klagomål/A 34371-2019 FSC-klagomål.docx", "A 34371-2019")</f>
        <v/>
      </c>
      <c r="W206">
        <f>HYPERLINK("https://klasma.github.io/Logging_2422/klagomålsmail/A 34371-2019 FSC-klagomål mail.docx", "A 34371-2019")</f>
        <v/>
      </c>
      <c r="X206">
        <f>HYPERLINK("https://klasma.github.io/Logging_2422/tillsyn/A 34371-2019 tillsynsbegäran.docx", "A 34371-2019")</f>
        <v/>
      </c>
      <c r="Y206">
        <f>HYPERLINK("https://klasma.github.io/Logging_2422/tillsynsmail/A 34371-2019 tillsynsbegäran mail.docx", "A 34371-2019")</f>
        <v/>
      </c>
      <c r="Z206">
        <f>HYPERLINK("https://klasma.github.io/Logging_2422/fåglar/A 34371-2019 prioriterade fågelarter.docx", "A 34371-2019")</f>
        <v/>
      </c>
    </row>
    <row r="207" ht="15" customHeight="1">
      <c r="A207" t="inlineStr">
        <is>
          <t>A 34664-2019</t>
        </is>
      </c>
      <c r="B207" s="1" t="n">
        <v>43648</v>
      </c>
      <c r="C207" s="1" t="n">
        <v>45788</v>
      </c>
      <c r="D207" t="inlineStr">
        <is>
          <t>VÄSTERBOTTENS LÄN</t>
        </is>
      </c>
      <c r="E207" t="inlineStr">
        <is>
          <t>SKELLEFTEÅ</t>
        </is>
      </c>
      <c r="G207" t="n">
        <v>6.7</v>
      </c>
      <c r="H207" t="n">
        <v>0</v>
      </c>
      <c r="I207" t="n">
        <v>4</v>
      </c>
      <c r="J207" t="n">
        <v>7</v>
      </c>
      <c r="K207" t="n">
        <v>0</v>
      </c>
      <c r="L207" t="n">
        <v>0</v>
      </c>
      <c r="M207" t="n">
        <v>0</v>
      </c>
      <c r="N207" t="n">
        <v>0</v>
      </c>
      <c r="O207" t="n">
        <v>7</v>
      </c>
      <c r="P207" t="n">
        <v>0</v>
      </c>
      <c r="Q207" t="n">
        <v>11</v>
      </c>
      <c r="R207" s="2" t="inlineStr">
        <is>
          <t>Gammelgransskål
Garnlav
Granticka
Rosenticka
Ullticka
Violettgrå tagellav
Vitgrynig nållav
Luddlav
Skinnlav
Stuplav
Vedticka</t>
        </is>
      </c>
      <c r="S207">
        <f>HYPERLINK("https://klasma.github.io/Logging_2482/artfynd/A 34664-2019 artfynd.xlsx", "A 34664-2019")</f>
        <v/>
      </c>
      <c r="T207">
        <f>HYPERLINK("https://klasma.github.io/Logging_2482/kartor/A 34664-2019 karta.png", "A 34664-2019")</f>
        <v/>
      </c>
      <c r="V207">
        <f>HYPERLINK("https://klasma.github.io/Logging_2482/klagomål/A 34664-2019 FSC-klagomål.docx", "A 34664-2019")</f>
        <v/>
      </c>
      <c r="W207">
        <f>HYPERLINK("https://klasma.github.io/Logging_2482/klagomålsmail/A 34664-2019 FSC-klagomål mail.docx", "A 34664-2019")</f>
        <v/>
      </c>
      <c r="X207">
        <f>HYPERLINK("https://klasma.github.io/Logging_2482/tillsyn/A 34664-2019 tillsynsbegäran.docx", "A 34664-2019")</f>
        <v/>
      </c>
      <c r="Y207">
        <f>HYPERLINK("https://klasma.github.io/Logging_2482/tillsynsmail/A 34664-2019 tillsynsbegäran mail.docx", "A 34664-2019")</f>
        <v/>
      </c>
    </row>
    <row r="208" ht="15" customHeight="1">
      <c r="A208" t="inlineStr">
        <is>
          <t>A 34946-2019</t>
        </is>
      </c>
      <c r="B208" s="1" t="n">
        <v>43658</v>
      </c>
      <c r="C208" s="1" t="n">
        <v>45788</v>
      </c>
      <c r="D208" t="inlineStr">
        <is>
          <t>VÄSTERBOTTENS LÄN</t>
        </is>
      </c>
      <c r="E208" t="inlineStr">
        <is>
          <t>NORSJÖ</t>
        </is>
      </c>
      <c r="G208" t="n">
        <v>11.3</v>
      </c>
      <c r="H208" t="n">
        <v>1</v>
      </c>
      <c r="I208" t="n">
        <v>6</v>
      </c>
      <c r="J208" t="n">
        <v>4</v>
      </c>
      <c r="K208" t="n">
        <v>1</v>
      </c>
      <c r="L208" t="n">
        <v>0</v>
      </c>
      <c r="M208" t="n">
        <v>0</v>
      </c>
      <c r="N208" t="n">
        <v>0</v>
      </c>
      <c r="O208" t="n">
        <v>5</v>
      </c>
      <c r="P208" t="n">
        <v>1</v>
      </c>
      <c r="Q208" t="n">
        <v>11</v>
      </c>
      <c r="R208" s="2" t="inlineStr">
        <is>
          <t>Knärot
Gammelgransskål
Garnlav
Granticka
Lunglav
Bårdlav
Dvärgtufs
Korallblylav
Luddlav
Skinnlav
Stuplav</t>
        </is>
      </c>
      <c r="S208">
        <f>HYPERLINK("https://klasma.github.io/Logging_2417/artfynd/A 34946-2019 artfynd.xlsx", "A 34946-2019")</f>
        <v/>
      </c>
      <c r="T208">
        <f>HYPERLINK("https://klasma.github.io/Logging_2417/kartor/A 34946-2019 karta.png", "A 34946-2019")</f>
        <v/>
      </c>
      <c r="U208">
        <f>HYPERLINK("https://klasma.github.io/Logging_2417/knärot/A 34946-2019 karta knärot.png", "A 34946-2019")</f>
        <v/>
      </c>
      <c r="V208">
        <f>HYPERLINK("https://klasma.github.io/Logging_2417/klagomål/A 34946-2019 FSC-klagomål.docx", "A 34946-2019")</f>
        <v/>
      </c>
      <c r="W208">
        <f>HYPERLINK("https://klasma.github.io/Logging_2417/klagomålsmail/A 34946-2019 FSC-klagomål mail.docx", "A 34946-2019")</f>
        <v/>
      </c>
      <c r="X208">
        <f>HYPERLINK("https://klasma.github.io/Logging_2417/tillsyn/A 34946-2019 tillsynsbegäran.docx", "A 34946-2019")</f>
        <v/>
      </c>
      <c r="Y208">
        <f>HYPERLINK("https://klasma.github.io/Logging_2417/tillsynsmail/A 34946-2019 tillsynsbegäran mail.docx", "A 34946-2019")</f>
        <v/>
      </c>
    </row>
    <row r="209" ht="15" customHeight="1">
      <c r="A209" t="inlineStr">
        <is>
          <t>A 47994-2019</t>
        </is>
      </c>
      <c r="B209" s="1" t="n">
        <v>43725</v>
      </c>
      <c r="C209" s="1" t="n">
        <v>45788</v>
      </c>
      <c r="D209" t="inlineStr">
        <is>
          <t>VÄSTERBOTTENS LÄN</t>
        </is>
      </c>
      <c r="E209" t="inlineStr">
        <is>
          <t>STORUMAN</t>
        </is>
      </c>
      <c r="G209" t="n">
        <v>22.2</v>
      </c>
      <c r="H209" t="n">
        <v>3</v>
      </c>
      <c r="I209" t="n">
        <v>1</v>
      </c>
      <c r="J209" t="n">
        <v>8</v>
      </c>
      <c r="K209" t="n">
        <v>0</v>
      </c>
      <c r="L209" t="n">
        <v>0</v>
      </c>
      <c r="M209" t="n">
        <v>0</v>
      </c>
      <c r="N209" t="n">
        <v>0</v>
      </c>
      <c r="O209" t="n">
        <v>8</v>
      </c>
      <c r="P209" t="n">
        <v>0</v>
      </c>
      <c r="Q209" t="n">
        <v>11</v>
      </c>
      <c r="R209" s="2" t="inlineStr">
        <is>
          <t>Gammelgransskål
Garnlav
Granticka
Gränsticka
Harticka
Rosenticka
Tretåig hackspett
Violettkantad guldvinge
Kransrams
Lavskrika
Revlummer</t>
        </is>
      </c>
      <c r="S209">
        <f>HYPERLINK("https://klasma.github.io/Logging_2421/artfynd/A 47994-2019 artfynd.xlsx", "A 47994-2019")</f>
        <v/>
      </c>
      <c r="T209">
        <f>HYPERLINK("https://klasma.github.io/Logging_2421/kartor/A 47994-2019 karta.png", "A 47994-2019")</f>
        <v/>
      </c>
      <c r="U209">
        <f>HYPERLINK("https://klasma.github.io/Logging_2421/knärot/A 47994-2019 karta knärot.png", "A 47994-2019")</f>
        <v/>
      </c>
      <c r="V209">
        <f>HYPERLINK("https://klasma.github.io/Logging_2421/klagomål/A 47994-2019 FSC-klagomål.docx", "A 47994-2019")</f>
        <v/>
      </c>
      <c r="W209">
        <f>HYPERLINK("https://klasma.github.io/Logging_2421/klagomålsmail/A 47994-2019 FSC-klagomål mail.docx", "A 47994-2019")</f>
        <v/>
      </c>
      <c r="X209">
        <f>HYPERLINK("https://klasma.github.io/Logging_2421/tillsyn/A 47994-2019 tillsynsbegäran.docx", "A 47994-2019")</f>
        <v/>
      </c>
      <c r="Y209">
        <f>HYPERLINK("https://klasma.github.io/Logging_2421/tillsynsmail/A 47994-2019 tillsynsbegäran mail.docx", "A 47994-2019")</f>
        <v/>
      </c>
      <c r="Z209">
        <f>HYPERLINK("https://klasma.github.io/Logging_2421/fåglar/A 47994-2019 prioriterade fågelarter.docx", "A 47994-2019")</f>
        <v/>
      </c>
    </row>
    <row r="210" ht="15" customHeight="1">
      <c r="A210" t="inlineStr">
        <is>
          <t>A 55395-2019</t>
        </is>
      </c>
      <c r="B210" s="1" t="n">
        <v>43758</v>
      </c>
      <c r="C210" s="1" t="n">
        <v>45788</v>
      </c>
      <c r="D210" t="inlineStr">
        <is>
          <t>VÄSTERBOTTENS LÄN</t>
        </is>
      </c>
      <c r="E210" t="inlineStr">
        <is>
          <t>LYCKSELE</t>
        </is>
      </c>
      <c r="F210" t="inlineStr">
        <is>
          <t>Sveaskog</t>
        </is>
      </c>
      <c r="G210" t="n">
        <v>8.800000000000001</v>
      </c>
      <c r="H210" t="n">
        <v>1</v>
      </c>
      <c r="I210" t="n">
        <v>1</v>
      </c>
      <c r="J210" t="n">
        <v>9</v>
      </c>
      <c r="K210" t="n">
        <v>1</v>
      </c>
      <c r="L210" t="n">
        <v>0</v>
      </c>
      <c r="M210" t="n">
        <v>0</v>
      </c>
      <c r="N210" t="n">
        <v>0</v>
      </c>
      <c r="O210" t="n">
        <v>10</v>
      </c>
      <c r="P210" t="n">
        <v>1</v>
      </c>
      <c r="Q210" t="n">
        <v>11</v>
      </c>
      <c r="R210" s="2" t="inlineStr">
        <is>
          <t>Smalfotad taggsvamp
Dvärgbägarlav
Gammelgransskål
Garnlav
Granticka
Lunglav
Skrovlig taggsvamp
Talltaggsvamp
Tretåig hackspett
Vedflamlav
Stuplav</t>
        </is>
      </c>
      <c r="S210">
        <f>HYPERLINK("https://klasma.github.io/Logging_2481/artfynd/A 55395-2019 artfynd.xlsx", "A 55395-2019")</f>
        <v/>
      </c>
      <c r="T210">
        <f>HYPERLINK("https://klasma.github.io/Logging_2481/kartor/A 55395-2019 karta.png", "A 55395-2019")</f>
        <v/>
      </c>
      <c r="V210">
        <f>HYPERLINK("https://klasma.github.io/Logging_2481/klagomål/A 55395-2019 FSC-klagomål.docx", "A 55395-2019")</f>
        <v/>
      </c>
      <c r="W210">
        <f>HYPERLINK("https://klasma.github.io/Logging_2481/klagomålsmail/A 55395-2019 FSC-klagomål mail.docx", "A 55395-2019")</f>
        <v/>
      </c>
      <c r="X210">
        <f>HYPERLINK("https://klasma.github.io/Logging_2481/tillsyn/A 55395-2019 tillsynsbegäran.docx", "A 55395-2019")</f>
        <v/>
      </c>
      <c r="Y210">
        <f>HYPERLINK("https://klasma.github.io/Logging_2481/tillsynsmail/A 55395-2019 tillsynsbegäran mail.docx", "A 55395-2019")</f>
        <v/>
      </c>
      <c r="Z210">
        <f>HYPERLINK("https://klasma.github.io/Logging_2481/fåglar/A 55395-2019 prioriterade fågelarter.docx", "A 55395-2019")</f>
        <v/>
      </c>
    </row>
    <row r="211" ht="15" customHeight="1">
      <c r="A211" t="inlineStr">
        <is>
          <t>A 60592-2019</t>
        </is>
      </c>
      <c r="B211" s="1" t="n">
        <v>43781</v>
      </c>
      <c r="C211" s="1" t="n">
        <v>45788</v>
      </c>
      <c r="D211" t="inlineStr">
        <is>
          <t>VÄSTERBOTTENS LÄN</t>
        </is>
      </c>
      <c r="E211" t="inlineStr">
        <is>
          <t>VILHELMINA</t>
        </is>
      </c>
      <c r="F211" t="inlineStr">
        <is>
          <t>Holmen skog AB</t>
        </is>
      </c>
      <c r="G211" t="n">
        <v>26.7</v>
      </c>
      <c r="H211" t="n">
        <v>1</v>
      </c>
      <c r="I211" t="n">
        <v>2</v>
      </c>
      <c r="J211" t="n">
        <v>9</v>
      </c>
      <c r="K211" t="n">
        <v>0</v>
      </c>
      <c r="L211" t="n">
        <v>0</v>
      </c>
      <c r="M211" t="n">
        <v>0</v>
      </c>
      <c r="N211" t="n">
        <v>0</v>
      </c>
      <c r="O211" t="n">
        <v>9</v>
      </c>
      <c r="P211" t="n">
        <v>0</v>
      </c>
      <c r="Q211" t="n">
        <v>11</v>
      </c>
      <c r="R211" s="2" t="inlineStr">
        <is>
          <t>Brunpudrad nållav
Gammelgransskål
Garnlav
Granticka
Gränsticka
Knottrig blåslav
Lunglav
Tretåig hackspett
Vitgrynig nållav
Luddlav
Stuplav</t>
        </is>
      </c>
      <c r="S211">
        <f>HYPERLINK("https://klasma.github.io/Logging_2462/artfynd/A 60592-2019 artfynd.xlsx", "A 60592-2019")</f>
        <v/>
      </c>
      <c r="T211">
        <f>HYPERLINK("https://klasma.github.io/Logging_2462/kartor/A 60592-2019 karta.png", "A 60592-2019")</f>
        <v/>
      </c>
      <c r="V211">
        <f>HYPERLINK("https://klasma.github.io/Logging_2462/klagomål/A 60592-2019 FSC-klagomål.docx", "A 60592-2019")</f>
        <v/>
      </c>
      <c r="W211">
        <f>HYPERLINK("https://klasma.github.io/Logging_2462/klagomålsmail/A 60592-2019 FSC-klagomål mail.docx", "A 60592-2019")</f>
        <v/>
      </c>
      <c r="X211">
        <f>HYPERLINK("https://klasma.github.io/Logging_2462/tillsyn/A 60592-2019 tillsynsbegäran.docx", "A 60592-2019")</f>
        <v/>
      </c>
      <c r="Y211">
        <f>HYPERLINK("https://klasma.github.io/Logging_2462/tillsynsmail/A 60592-2019 tillsynsbegäran mail.docx", "A 60592-2019")</f>
        <v/>
      </c>
      <c r="Z211">
        <f>HYPERLINK("https://klasma.github.io/Logging_2462/fåglar/A 60592-2019 prioriterade fågelarter.docx", "A 60592-2019")</f>
        <v/>
      </c>
    </row>
    <row r="212" ht="15" customHeight="1">
      <c r="A212" t="inlineStr">
        <is>
          <t>A 43938-2020</t>
        </is>
      </c>
      <c r="B212" s="1" t="n">
        <v>44078</v>
      </c>
      <c r="C212" s="1" t="n">
        <v>45788</v>
      </c>
      <c r="D212" t="inlineStr">
        <is>
          <t>VÄSTERBOTTENS LÄN</t>
        </is>
      </c>
      <c r="E212" t="inlineStr">
        <is>
          <t>STORUMAN</t>
        </is>
      </c>
      <c r="F212" t="inlineStr">
        <is>
          <t>Allmännings- och besparingsskogar</t>
        </is>
      </c>
      <c r="G212" t="n">
        <v>422.4</v>
      </c>
      <c r="H212" t="n">
        <v>0</v>
      </c>
      <c r="I212" t="n">
        <v>2</v>
      </c>
      <c r="J212" t="n">
        <v>8</v>
      </c>
      <c r="K212" t="n">
        <v>1</v>
      </c>
      <c r="L212" t="n">
        <v>0</v>
      </c>
      <c r="M212" t="n">
        <v>0</v>
      </c>
      <c r="N212" t="n">
        <v>0</v>
      </c>
      <c r="O212" t="n">
        <v>9</v>
      </c>
      <c r="P212" t="n">
        <v>1</v>
      </c>
      <c r="Q212" t="n">
        <v>11</v>
      </c>
      <c r="R212" s="2" t="inlineStr">
        <is>
          <t>Ulltickeporing
Garnlav
Granticka
Harticka
Knottrig blåslav
Rosenticka
Rödbrun blekspik
Stjärntagging
Ullticka
Gytterlav
Stuplav</t>
        </is>
      </c>
      <c r="S212">
        <f>HYPERLINK("https://klasma.github.io/Logging_2421/artfynd/A 43938-2020 artfynd.xlsx", "A 43938-2020")</f>
        <v/>
      </c>
      <c r="T212">
        <f>HYPERLINK("https://klasma.github.io/Logging_2421/kartor/A 43938-2020 karta.png", "A 43938-2020")</f>
        <v/>
      </c>
      <c r="V212">
        <f>HYPERLINK("https://klasma.github.io/Logging_2421/klagomål/A 43938-2020 FSC-klagomål.docx", "A 43938-2020")</f>
        <v/>
      </c>
      <c r="W212">
        <f>HYPERLINK("https://klasma.github.io/Logging_2421/klagomålsmail/A 43938-2020 FSC-klagomål mail.docx", "A 43938-2020")</f>
        <v/>
      </c>
      <c r="X212">
        <f>HYPERLINK("https://klasma.github.io/Logging_2421/tillsyn/A 43938-2020 tillsynsbegäran.docx", "A 43938-2020")</f>
        <v/>
      </c>
      <c r="Y212">
        <f>HYPERLINK("https://klasma.github.io/Logging_2421/tillsynsmail/A 43938-2020 tillsynsbegäran mail.docx", "A 43938-2020")</f>
        <v/>
      </c>
    </row>
    <row r="213" ht="15" customHeight="1">
      <c r="A213" t="inlineStr">
        <is>
          <t>A 52676-2020</t>
        </is>
      </c>
      <c r="B213" s="1" t="n">
        <v>44117</v>
      </c>
      <c r="C213" s="1" t="n">
        <v>45788</v>
      </c>
      <c r="D213" t="inlineStr">
        <is>
          <t>VÄSTERBOTTENS LÄN</t>
        </is>
      </c>
      <c r="E213" t="inlineStr">
        <is>
          <t>UMEÅ</t>
        </is>
      </c>
      <c r="G213" t="n">
        <v>3.3</v>
      </c>
      <c r="H213" t="n">
        <v>2</v>
      </c>
      <c r="I213" t="n">
        <v>4</v>
      </c>
      <c r="J213" t="n">
        <v>7</v>
      </c>
      <c r="K213" t="n">
        <v>0</v>
      </c>
      <c r="L213" t="n">
        <v>0</v>
      </c>
      <c r="M213" t="n">
        <v>0</v>
      </c>
      <c r="N213" t="n">
        <v>0</v>
      </c>
      <c r="O213" t="n">
        <v>7</v>
      </c>
      <c r="P213" t="n">
        <v>0</v>
      </c>
      <c r="Q213" t="n">
        <v>11</v>
      </c>
      <c r="R213" s="2" t="inlineStr">
        <is>
          <t>Garnlav
Lunglav
Spillkråka
Stiftgelélav
Stjärntagging
Tretåig hackspett
Ullticka
Bårdlav
Korallblylav
Skinnlav
Vedticka</t>
        </is>
      </c>
      <c r="S213">
        <f>HYPERLINK("https://klasma.github.io/Logging_2480/artfynd/A 52676-2020 artfynd.xlsx", "A 52676-2020")</f>
        <v/>
      </c>
      <c r="T213">
        <f>HYPERLINK("https://klasma.github.io/Logging_2480/kartor/A 52676-2020 karta.png", "A 52676-2020")</f>
        <v/>
      </c>
      <c r="V213">
        <f>HYPERLINK("https://klasma.github.io/Logging_2480/klagomål/A 52676-2020 FSC-klagomål.docx", "A 52676-2020")</f>
        <v/>
      </c>
      <c r="W213">
        <f>HYPERLINK("https://klasma.github.io/Logging_2480/klagomålsmail/A 52676-2020 FSC-klagomål mail.docx", "A 52676-2020")</f>
        <v/>
      </c>
      <c r="X213">
        <f>HYPERLINK("https://klasma.github.io/Logging_2480/tillsyn/A 52676-2020 tillsynsbegäran.docx", "A 52676-2020")</f>
        <v/>
      </c>
      <c r="Y213">
        <f>HYPERLINK("https://klasma.github.io/Logging_2480/tillsynsmail/A 52676-2020 tillsynsbegäran mail.docx", "A 52676-2020")</f>
        <v/>
      </c>
      <c r="Z213">
        <f>HYPERLINK("https://klasma.github.io/Logging_2480/fåglar/A 52676-2020 prioriterade fågelarter.docx", "A 52676-2020")</f>
        <v/>
      </c>
    </row>
    <row r="214" ht="15" customHeight="1">
      <c r="A214" t="inlineStr">
        <is>
          <t>A 67029-2020</t>
        </is>
      </c>
      <c r="B214" s="1" t="n">
        <v>44180</v>
      </c>
      <c r="C214" s="1" t="n">
        <v>45788</v>
      </c>
      <c r="D214" t="inlineStr">
        <is>
          <t>VÄSTERBOTTENS LÄN</t>
        </is>
      </c>
      <c r="E214" t="inlineStr">
        <is>
          <t>BJURHOLM</t>
        </is>
      </c>
      <c r="G214" t="n">
        <v>18.4</v>
      </c>
      <c r="H214" t="n">
        <v>1</v>
      </c>
      <c r="I214" t="n">
        <v>4</v>
      </c>
      <c r="J214" t="n">
        <v>7</v>
      </c>
      <c r="K214" t="n">
        <v>0</v>
      </c>
      <c r="L214" t="n">
        <v>0</v>
      </c>
      <c r="M214" t="n">
        <v>0</v>
      </c>
      <c r="N214" t="n">
        <v>0</v>
      </c>
      <c r="O214" t="n">
        <v>7</v>
      </c>
      <c r="P214" t="n">
        <v>0</v>
      </c>
      <c r="Q214" t="n">
        <v>11</v>
      </c>
      <c r="R214" s="2" t="inlineStr">
        <is>
          <t>Garnlav
Kolflarnlav
Lunglav
Mörk kolflarnlav
Tretåig hackspett
Vedflamlav
Violettgrå tagellav
Dropptaggsvamp
Skarp dropptaggsvamp
Skinnlav
Stor aspticka</t>
        </is>
      </c>
      <c r="S214">
        <f>HYPERLINK("https://klasma.github.io/Logging_2403/artfynd/A 67029-2020 artfynd.xlsx", "A 67029-2020")</f>
        <v/>
      </c>
      <c r="T214">
        <f>HYPERLINK("https://klasma.github.io/Logging_2403/kartor/A 67029-2020 karta.png", "A 67029-2020")</f>
        <v/>
      </c>
      <c r="V214">
        <f>HYPERLINK("https://klasma.github.io/Logging_2403/klagomål/A 67029-2020 FSC-klagomål.docx", "A 67029-2020")</f>
        <v/>
      </c>
      <c r="W214">
        <f>HYPERLINK("https://klasma.github.io/Logging_2403/klagomålsmail/A 67029-2020 FSC-klagomål mail.docx", "A 67029-2020")</f>
        <v/>
      </c>
      <c r="X214">
        <f>HYPERLINK("https://klasma.github.io/Logging_2403/tillsyn/A 67029-2020 tillsynsbegäran.docx", "A 67029-2020")</f>
        <v/>
      </c>
      <c r="Y214">
        <f>HYPERLINK("https://klasma.github.io/Logging_2403/tillsynsmail/A 67029-2020 tillsynsbegäran mail.docx", "A 67029-2020")</f>
        <v/>
      </c>
      <c r="Z214">
        <f>HYPERLINK("https://klasma.github.io/Logging_2403/fåglar/A 67029-2020 prioriterade fågelarter.docx", "A 67029-2020")</f>
        <v/>
      </c>
    </row>
    <row r="215" ht="15" customHeight="1">
      <c r="A215" t="inlineStr">
        <is>
          <t>A 6658-2021</t>
        </is>
      </c>
      <c r="B215" s="1" t="n">
        <v>44235</v>
      </c>
      <c r="C215" s="1" t="n">
        <v>45788</v>
      </c>
      <c r="D215" t="inlineStr">
        <is>
          <t>VÄSTERBOTTENS LÄN</t>
        </is>
      </c>
      <c r="E215" t="inlineStr">
        <is>
          <t>VILHELMINA</t>
        </is>
      </c>
      <c r="G215" t="n">
        <v>6.7</v>
      </c>
      <c r="H215" t="n">
        <v>3</v>
      </c>
      <c r="I215" t="n">
        <v>1</v>
      </c>
      <c r="J215" t="n">
        <v>8</v>
      </c>
      <c r="K215" t="n">
        <v>1</v>
      </c>
      <c r="L215" t="n">
        <v>0</v>
      </c>
      <c r="M215" t="n">
        <v>0</v>
      </c>
      <c r="N215" t="n">
        <v>0</v>
      </c>
      <c r="O215" t="n">
        <v>9</v>
      </c>
      <c r="P215" t="n">
        <v>1</v>
      </c>
      <c r="Q215" t="n">
        <v>11</v>
      </c>
      <c r="R215" s="2" t="inlineStr">
        <is>
          <t>Rynkskinn
Barrviolspindling
Garnlav
Granticka
Harticka
Skrovellav
Stjärntagging
Talltita
Tretåig hackspett
Vedticka
Lavskrika</t>
        </is>
      </c>
      <c r="S215">
        <f>HYPERLINK("https://klasma.github.io/Logging_2462/artfynd/A 6658-2021 artfynd.xlsx", "A 6658-2021")</f>
        <v/>
      </c>
      <c r="T215">
        <f>HYPERLINK("https://klasma.github.io/Logging_2462/kartor/A 6658-2021 karta.png", "A 6658-2021")</f>
        <v/>
      </c>
      <c r="V215">
        <f>HYPERLINK("https://klasma.github.io/Logging_2462/klagomål/A 6658-2021 FSC-klagomål.docx", "A 6658-2021")</f>
        <v/>
      </c>
      <c r="W215">
        <f>HYPERLINK("https://klasma.github.io/Logging_2462/klagomålsmail/A 6658-2021 FSC-klagomål mail.docx", "A 6658-2021")</f>
        <v/>
      </c>
      <c r="X215">
        <f>HYPERLINK("https://klasma.github.io/Logging_2462/tillsyn/A 6658-2021 tillsynsbegäran.docx", "A 6658-2021")</f>
        <v/>
      </c>
      <c r="Y215">
        <f>HYPERLINK("https://klasma.github.io/Logging_2462/tillsynsmail/A 6658-2021 tillsynsbegäran mail.docx", "A 6658-2021")</f>
        <v/>
      </c>
      <c r="Z215">
        <f>HYPERLINK("https://klasma.github.io/Logging_2462/fåglar/A 6658-2021 prioriterade fågelarter.docx", "A 6658-2021")</f>
        <v/>
      </c>
    </row>
    <row r="216" ht="15" customHeight="1">
      <c r="A216" t="inlineStr">
        <is>
          <t>A 29392-2021</t>
        </is>
      </c>
      <c r="B216" s="1" t="n">
        <v>44361</v>
      </c>
      <c r="C216" s="1" t="n">
        <v>45788</v>
      </c>
      <c r="D216" t="inlineStr">
        <is>
          <t>VÄSTERBOTTENS LÄN</t>
        </is>
      </c>
      <c r="E216" t="inlineStr">
        <is>
          <t>VILHELMINA</t>
        </is>
      </c>
      <c r="F216" t="inlineStr">
        <is>
          <t>Allmännings- och besparingsskogar</t>
        </is>
      </c>
      <c r="G216" t="n">
        <v>275</v>
      </c>
      <c r="H216" t="n">
        <v>1</v>
      </c>
      <c r="I216" t="n">
        <v>5</v>
      </c>
      <c r="J216" t="n">
        <v>6</v>
      </c>
      <c r="K216" t="n">
        <v>0</v>
      </c>
      <c r="L216" t="n">
        <v>0</v>
      </c>
      <c r="M216" t="n">
        <v>0</v>
      </c>
      <c r="N216" t="n">
        <v>0</v>
      </c>
      <c r="O216" t="n">
        <v>6</v>
      </c>
      <c r="P216" t="n">
        <v>0</v>
      </c>
      <c r="Q216" t="n">
        <v>11</v>
      </c>
      <c r="R216" s="2" t="inlineStr">
        <is>
          <t>Brunpudrad nållav
Rödbrun blekspik
Skrovellav
Svartvit flugsnappare
Vitgrynig nållav
Vitskaftad svartspik
Bårdlav
Gulnål
Gytterlav
Källmossor
Mörk husmossa</t>
        </is>
      </c>
      <c r="S216">
        <f>HYPERLINK("https://klasma.github.io/Logging_2462/artfynd/A 29392-2021 artfynd.xlsx", "A 29392-2021")</f>
        <v/>
      </c>
      <c r="T216">
        <f>HYPERLINK("https://klasma.github.io/Logging_2462/kartor/A 29392-2021 karta.png", "A 29392-2021")</f>
        <v/>
      </c>
      <c r="V216">
        <f>HYPERLINK("https://klasma.github.io/Logging_2462/klagomål/A 29392-2021 FSC-klagomål.docx", "A 29392-2021")</f>
        <v/>
      </c>
      <c r="W216">
        <f>HYPERLINK("https://klasma.github.io/Logging_2462/klagomålsmail/A 29392-2021 FSC-klagomål mail.docx", "A 29392-2021")</f>
        <v/>
      </c>
      <c r="X216">
        <f>HYPERLINK("https://klasma.github.io/Logging_2462/tillsyn/A 29392-2021 tillsynsbegäran.docx", "A 29392-2021")</f>
        <v/>
      </c>
      <c r="Y216">
        <f>HYPERLINK("https://klasma.github.io/Logging_2462/tillsynsmail/A 29392-2021 tillsynsbegäran mail.docx", "A 29392-2021")</f>
        <v/>
      </c>
      <c r="Z216">
        <f>HYPERLINK("https://klasma.github.io/Logging_2462/fåglar/A 29392-2021 prioriterade fågelarter.docx", "A 29392-2021")</f>
        <v/>
      </c>
    </row>
    <row r="217" ht="15" customHeight="1">
      <c r="A217" t="inlineStr">
        <is>
          <t>A 31079-2021</t>
        </is>
      </c>
      <c r="B217" s="1" t="n">
        <v>44368</v>
      </c>
      <c r="C217" s="1" t="n">
        <v>45788</v>
      </c>
      <c r="D217" t="inlineStr">
        <is>
          <t>VÄSTERBOTTENS LÄN</t>
        </is>
      </c>
      <c r="E217" t="inlineStr">
        <is>
          <t>SKELLEFTEÅ</t>
        </is>
      </c>
      <c r="F217" t="inlineStr">
        <is>
          <t>Holmen skog AB</t>
        </is>
      </c>
      <c r="G217" t="n">
        <v>6.9</v>
      </c>
      <c r="H217" t="n">
        <v>1</v>
      </c>
      <c r="I217" t="n">
        <v>5</v>
      </c>
      <c r="J217" t="n">
        <v>6</v>
      </c>
      <c r="K217" t="n">
        <v>0</v>
      </c>
      <c r="L217" t="n">
        <v>0</v>
      </c>
      <c r="M217" t="n">
        <v>0</v>
      </c>
      <c r="N217" t="n">
        <v>0</v>
      </c>
      <c r="O217" t="n">
        <v>6</v>
      </c>
      <c r="P217" t="n">
        <v>0</v>
      </c>
      <c r="Q217" t="n">
        <v>11</v>
      </c>
      <c r="R217" s="2" t="inlineStr">
        <is>
          <t>Gammelgransskål
Garnlav
Granticka
Lunglav
Ullticka
Violettgrå tagellav
Bårdlav
Luddlav
Skinnlav
Spindelblomster
Vedticka</t>
        </is>
      </c>
      <c r="S217">
        <f>HYPERLINK("https://klasma.github.io/Logging_2482/artfynd/A 31079-2021 artfynd.xlsx", "A 31079-2021")</f>
        <v/>
      </c>
      <c r="T217">
        <f>HYPERLINK("https://klasma.github.io/Logging_2482/kartor/A 31079-2021 karta.png", "A 31079-2021")</f>
        <v/>
      </c>
      <c r="V217">
        <f>HYPERLINK("https://klasma.github.io/Logging_2482/klagomål/A 31079-2021 FSC-klagomål.docx", "A 31079-2021")</f>
        <v/>
      </c>
      <c r="W217">
        <f>HYPERLINK("https://klasma.github.io/Logging_2482/klagomålsmail/A 31079-2021 FSC-klagomål mail.docx", "A 31079-2021")</f>
        <v/>
      </c>
      <c r="X217">
        <f>HYPERLINK("https://klasma.github.io/Logging_2482/tillsyn/A 31079-2021 tillsynsbegäran.docx", "A 31079-2021")</f>
        <v/>
      </c>
      <c r="Y217">
        <f>HYPERLINK("https://klasma.github.io/Logging_2482/tillsynsmail/A 31079-2021 tillsynsbegäran mail.docx", "A 31079-2021")</f>
        <v/>
      </c>
    </row>
    <row r="218" ht="15" customHeight="1">
      <c r="A218" t="inlineStr">
        <is>
          <t>A 65389-2021</t>
        </is>
      </c>
      <c r="B218" s="1" t="n">
        <v>44515</v>
      </c>
      <c r="C218" s="1" t="n">
        <v>45788</v>
      </c>
      <c r="D218" t="inlineStr">
        <is>
          <t>VÄSTERBOTTENS LÄN</t>
        </is>
      </c>
      <c r="E218" t="inlineStr">
        <is>
          <t>VINDELN</t>
        </is>
      </c>
      <c r="F218" t="inlineStr">
        <is>
          <t>Sveaskog</t>
        </is>
      </c>
      <c r="G218" t="n">
        <v>3.3</v>
      </c>
      <c r="H218" t="n">
        <v>1</v>
      </c>
      <c r="I218" t="n">
        <v>1</v>
      </c>
      <c r="J218" t="n">
        <v>10</v>
      </c>
      <c r="K218" t="n">
        <v>0</v>
      </c>
      <c r="L218" t="n">
        <v>0</v>
      </c>
      <c r="M218" t="n">
        <v>0</v>
      </c>
      <c r="N218" t="n">
        <v>0</v>
      </c>
      <c r="O218" t="n">
        <v>10</v>
      </c>
      <c r="P218" t="n">
        <v>0</v>
      </c>
      <c r="Q218" t="n">
        <v>11</v>
      </c>
      <c r="R218" s="2" t="inlineStr">
        <is>
          <t>Dvärgbägarlav
Garnlav
Kolflarnlav
Motaggsvamp
Mörk kolflarnlav
Reliktbock
Talltaggsvamp
Talltita
Vaddporing
Vedskivlav
Dropptaggsvamp</t>
        </is>
      </c>
      <c r="S218">
        <f>HYPERLINK("https://klasma.github.io/Logging_2404/artfynd/A 65389-2021 artfynd.xlsx", "A 65389-2021")</f>
        <v/>
      </c>
      <c r="T218">
        <f>HYPERLINK("https://klasma.github.io/Logging_2404/kartor/A 65389-2021 karta.png", "A 65389-2021")</f>
        <v/>
      </c>
      <c r="V218">
        <f>HYPERLINK("https://klasma.github.io/Logging_2404/klagomål/A 65389-2021 FSC-klagomål.docx", "A 65389-2021")</f>
        <v/>
      </c>
      <c r="W218">
        <f>HYPERLINK("https://klasma.github.io/Logging_2404/klagomålsmail/A 65389-2021 FSC-klagomål mail.docx", "A 65389-2021")</f>
        <v/>
      </c>
      <c r="X218">
        <f>HYPERLINK("https://klasma.github.io/Logging_2404/tillsyn/A 65389-2021 tillsynsbegäran.docx", "A 65389-2021")</f>
        <v/>
      </c>
      <c r="Y218">
        <f>HYPERLINK("https://klasma.github.io/Logging_2404/tillsynsmail/A 65389-2021 tillsynsbegäran mail.docx", "A 65389-2021")</f>
        <v/>
      </c>
      <c r="Z218">
        <f>HYPERLINK("https://klasma.github.io/Logging_2404/fåglar/A 65389-2021 prioriterade fågelarter.docx", "A 65389-2021")</f>
        <v/>
      </c>
    </row>
    <row r="219" ht="15" customHeight="1">
      <c r="A219" t="inlineStr">
        <is>
          <t>A 20558-2022</t>
        </is>
      </c>
      <c r="B219" s="1" t="n">
        <v>44700</v>
      </c>
      <c r="C219" s="1" t="n">
        <v>45788</v>
      </c>
      <c r="D219" t="inlineStr">
        <is>
          <t>VÄSTERBOTTENS LÄN</t>
        </is>
      </c>
      <c r="E219" t="inlineStr">
        <is>
          <t>BJURHOLM</t>
        </is>
      </c>
      <c r="G219" t="n">
        <v>11.6</v>
      </c>
      <c r="H219" t="n">
        <v>3</v>
      </c>
      <c r="I219" t="n">
        <v>4</v>
      </c>
      <c r="J219" t="n">
        <v>5</v>
      </c>
      <c r="K219" t="n">
        <v>1</v>
      </c>
      <c r="L219" t="n">
        <v>0</v>
      </c>
      <c r="M219" t="n">
        <v>0</v>
      </c>
      <c r="N219" t="n">
        <v>0</v>
      </c>
      <c r="O219" t="n">
        <v>6</v>
      </c>
      <c r="P219" t="n">
        <v>1</v>
      </c>
      <c r="Q219" t="n">
        <v>11</v>
      </c>
      <c r="R219" s="2" t="inlineStr">
        <is>
          <t>Rynkskinn
Garnlav
Granticka
Järpe
Lunglav
Ullticka
Bollvitmossa
Skinnlav
Spindelblomster
Stuplav
Fläcknycklar</t>
        </is>
      </c>
      <c r="S219">
        <f>HYPERLINK("https://klasma.github.io/Logging_2403/artfynd/A 20558-2022 artfynd.xlsx", "A 20558-2022")</f>
        <v/>
      </c>
      <c r="T219">
        <f>HYPERLINK("https://klasma.github.io/Logging_2403/kartor/A 20558-2022 karta.png", "A 20558-2022")</f>
        <v/>
      </c>
      <c r="V219">
        <f>HYPERLINK("https://klasma.github.io/Logging_2403/klagomål/A 20558-2022 FSC-klagomål.docx", "A 20558-2022")</f>
        <v/>
      </c>
      <c r="W219">
        <f>HYPERLINK("https://klasma.github.io/Logging_2403/klagomålsmail/A 20558-2022 FSC-klagomål mail.docx", "A 20558-2022")</f>
        <v/>
      </c>
      <c r="X219">
        <f>HYPERLINK("https://klasma.github.io/Logging_2403/tillsyn/A 20558-2022 tillsynsbegäran.docx", "A 20558-2022")</f>
        <v/>
      </c>
      <c r="Y219">
        <f>HYPERLINK("https://klasma.github.io/Logging_2403/tillsynsmail/A 20558-2022 tillsynsbegäran mail.docx", "A 20558-2022")</f>
        <v/>
      </c>
      <c r="Z219">
        <f>HYPERLINK("https://klasma.github.io/Logging_2403/fåglar/A 20558-2022 prioriterade fågelarter.docx", "A 20558-2022")</f>
        <v/>
      </c>
    </row>
    <row r="220" ht="15" customHeight="1">
      <c r="A220" t="inlineStr">
        <is>
          <t>A 33295-2022</t>
        </is>
      </c>
      <c r="B220" s="1" t="n">
        <v>44788</v>
      </c>
      <c r="C220" s="1" t="n">
        <v>45788</v>
      </c>
      <c r="D220" t="inlineStr">
        <is>
          <t>VÄSTERBOTTENS LÄN</t>
        </is>
      </c>
      <c r="E220" t="inlineStr">
        <is>
          <t>VINDELN</t>
        </is>
      </c>
      <c r="F220" t="inlineStr">
        <is>
          <t>Holmen skog AB</t>
        </is>
      </c>
      <c r="G220" t="n">
        <v>12.7</v>
      </c>
      <c r="H220" t="n">
        <v>0</v>
      </c>
      <c r="I220" t="n">
        <v>0</v>
      </c>
      <c r="J220" t="n">
        <v>8</v>
      </c>
      <c r="K220" t="n">
        <v>3</v>
      </c>
      <c r="L220" t="n">
        <v>0</v>
      </c>
      <c r="M220" t="n">
        <v>0</v>
      </c>
      <c r="N220" t="n">
        <v>0</v>
      </c>
      <c r="O220" t="n">
        <v>11</v>
      </c>
      <c r="P220" t="n">
        <v>3</v>
      </c>
      <c r="Q220" t="n">
        <v>11</v>
      </c>
      <c r="R220" s="2" t="inlineStr">
        <is>
          <t>Fläckporing
Goliatmusseron
Smalfotad taggsvamp
Blanksvart spiklav
Blå taggsvamp
Blågrå svartspik
Nordtagging
Orange taggsvamp
Skrovlig taggsvamp
Talltaggsvamp
Vaddporing</t>
        </is>
      </c>
      <c r="S220">
        <f>HYPERLINK("https://klasma.github.io/Logging_2404/artfynd/A 33295-2022 artfynd.xlsx", "A 33295-2022")</f>
        <v/>
      </c>
      <c r="T220">
        <f>HYPERLINK("https://klasma.github.io/Logging_2404/kartor/A 33295-2022 karta.png", "A 33295-2022")</f>
        <v/>
      </c>
      <c r="V220">
        <f>HYPERLINK("https://klasma.github.io/Logging_2404/klagomål/A 33295-2022 FSC-klagomål.docx", "A 33295-2022")</f>
        <v/>
      </c>
      <c r="W220">
        <f>HYPERLINK("https://klasma.github.io/Logging_2404/klagomålsmail/A 33295-2022 FSC-klagomål mail.docx", "A 33295-2022")</f>
        <v/>
      </c>
      <c r="X220">
        <f>HYPERLINK("https://klasma.github.io/Logging_2404/tillsyn/A 33295-2022 tillsynsbegäran.docx", "A 33295-2022")</f>
        <v/>
      </c>
      <c r="Y220">
        <f>HYPERLINK("https://klasma.github.io/Logging_2404/tillsynsmail/A 33295-2022 tillsynsbegäran mail.docx", "A 33295-2022")</f>
        <v/>
      </c>
    </row>
    <row r="221" ht="15" customHeight="1">
      <c r="A221" t="inlineStr">
        <is>
          <t>A 14810-2023</t>
        </is>
      </c>
      <c r="B221" s="1" t="n">
        <v>45013</v>
      </c>
      <c r="C221" s="1" t="n">
        <v>45788</v>
      </c>
      <c r="D221" t="inlineStr">
        <is>
          <t>VÄSTERBOTTENS LÄN</t>
        </is>
      </c>
      <c r="E221" t="inlineStr">
        <is>
          <t>STORUMAN</t>
        </is>
      </c>
      <c r="G221" t="n">
        <v>14</v>
      </c>
      <c r="H221" t="n">
        <v>0</v>
      </c>
      <c r="I221" t="n">
        <v>1</v>
      </c>
      <c r="J221" t="n">
        <v>10</v>
      </c>
      <c r="K221" t="n">
        <v>0</v>
      </c>
      <c r="L221" t="n">
        <v>0</v>
      </c>
      <c r="M221" t="n">
        <v>0</v>
      </c>
      <c r="N221" t="n">
        <v>0</v>
      </c>
      <c r="O221" t="n">
        <v>10</v>
      </c>
      <c r="P221" t="n">
        <v>0</v>
      </c>
      <c r="Q221" t="n">
        <v>11</v>
      </c>
      <c r="R221" s="2" t="inlineStr">
        <is>
          <t>Brunpudrad nållav
Gammelgransskål
Garnlav
Granticka
Gränsticka
Harticka
Knottrig blåslav
Rödbrun blekspik
Skrovellav
Ullticka
Stuplav</t>
        </is>
      </c>
      <c r="S221">
        <f>HYPERLINK("https://klasma.github.io/Logging_2421/artfynd/A 14810-2023 artfynd.xlsx", "A 14810-2023")</f>
        <v/>
      </c>
      <c r="T221">
        <f>HYPERLINK("https://klasma.github.io/Logging_2421/kartor/A 14810-2023 karta.png", "A 14810-2023")</f>
        <v/>
      </c>
      <c r="V221">
        <f>HYPERLINK("https://klasma.github.io/Logging_2421/klagomål/A 14810-2023 FSC-klagomål.docx", "A 14810-2023")</f>
        <v/>
      </c>
      <c r="W221">
        <f>HYPERLINK("https://klasma.github.io/Logging_2421/klagomålsmail/A 14810-2023 FSC-klagomål mail.docx", "A 14810-2023")</f>
        <v/>
      </c>
      <c r="X221">
        <f>HYPERLINK("https://klasma.github.io/Logging_2421/tillsyn/A 14810-2023 tillsynsbegäran.docx", "A 14810-2023")</f>
        <v/>
      </c>
      <c r="Y221">
        <f>HYPERLINK("https://klasma.github.io/Logging_2421/tillsynsmail/A 14810-2023 tillsynsbegäran mail.docx", "A 14810-2023")</f>
        <v/>
      </c>
    </row>
    <row r="222" ht="15" customHeight="1">
      <c r="A222" t="inlineStr">
        <is>
          <t>A 15343-2023</t>
        </is>
      </c>
      <c r="B222" s="1" t="n">
        <v>45016</v>
      </c>
      <c r="C222" s="1" t="n">
        <v>45788</v>
      </c>
      <c r="D222" t="inlineStr">
        <is>
          <t>VÄSTERBOTTENS LÄN</t>
        </is>
      </c>
      <c r="E222" t="inlineStr">
        <is>
          <t>STORUMAN</t>
        </is>
      </c>
      <c r="G222" t="n">
        <v>11.7</v>
      </c>
      <c r="H222" t="n">
        <v>4</v>
      </c>
      <c r="I222" t="n">
        <v>3</v>
      </c>
      <c r="J222" t="n">
        <v>6</v>
      </c>
      <c r="K222" t="n">
        <v>0</v>
      </c>
      <c r="L222" t="n">
        <v>0</v>
      </c>
      <c r="M222" t="n">
        <v>0</v>
      </c>
      <c r="N222" t="n">
        <v>0</v>
      </c>
      <c r="O222" t="n">
        <v>6</v>
      </c>
      <c r="P222" t="n">
        <v>0</v>
      </c>
      <c r="Q222" t="n">
        <v>11</v>
      </c>
      <c r="R222" s="2" t="inlineStr">
        <is>
          <t>Garnlav
Granticka
Harticka
Talltita
Tretåig hackspett
Vitgrynig nållav
Björksplintborre
Bronshjon
Svavelriska
Lavskrika
Revlummer</t>
        </is>
      </c>
      <c r="S222">
        <f>HYPERLINK("https://klasma.github.io/Logging_2421/artfynd/A 15343-2023 artfynd.xlsx", "A 15343-2023")</f>
        <v/>
      </c>
      <c r="T222">
        <f>HYPERLINK("https://klasma.github.io/Logging_2421/kartor/A 15343-2023 karta.png", "A 15343-2023")</f>
        <v/>
      </c>
      <c r="V222">
        <f>HYPERLINK("https://klasma.github.io/Logging_2421/klagomål/A 15343-2023 FSC-klagomål.docx", "A 15343-2023")</f>
        <v/>
      </c>
      <c r="W222">
        <f>HYPERLINK("https://klasma.github.io/Logging_2421/klagomålsmail/A 15343-2023 FSC-klagomål mail.docx", "A 15343-2023")</f>
        <v/>
      </c>
      <c r="X222">
        <f>HYPERLINK("https://klasma.github.io/Logging_2421/tillsyn/A 15343-2023 tillsynsbegäran.docx", "A 15343-2023")</f>
        <v/>
      </c>
      <c r="Y222">
        <f>HYPERLINK("https://klasma.github.io/Logging_2421/tillsynsmail/A 15343-2023 tillsynsbegäran mail.docx", "A 15343-2023")</f>
        <v/>
      </c>
      <c r="Z222">
        <f>HYPERLINK("https://klasma.github.io/Logging_2421/fåglar/A 15343-2023 prioriterade fågelarter.docx", "A 15343-2023")</f>
        <v/>
      </c>
    </row>
    <row r="223" ht="15" customHeight="1">
      <c r="A223" t="inlineStr">
        <is>
          <t>A 15340-2023</t>
        </is>
      </c>
      <c r="B223" s="1" t="n">
        <v>45016</v>
      </c>
      <c r="C223" s="1" t="n">
        <v>45788</v>
      </c>
      <c r="D223" t="inlineStr">
        <is>
          <t>VÄSTERBOTTENS LÄN</t>
        </is>
      </c>
      <c r="E223" t="inlineStr">
        <is>
          <t>STORUMAN</t>
        </is>
      </c>
      <c r="G223" t="n">
        <v>22.8</v>
      </c>
      <c r="H223" t="n">
        <v>2</v>
      </c>
      <c r="I223" t="n">
        <v>0</v>
      </c>
      <c r="J223" t="n">
        <v>9</v>
      </c>
      <c r="K223" t="n">
        <v>1</v>
      </c>
      <c r="L223" t="n">
        <v>0</v>
      </c>
      <c r="M223" t="n">
        <v>0</v>
      </c>
      <c r="N223" t="n">
        <v>0</v>
      </c>
      <c r="O223" t="n">
        <v>10</v>
      </c>
      <c r="P223" t="n">
        <v>1</v>
      </c>
      <c r="Q223" t="n">
        <v>11</v>
      </c>
      <c r="R223" s="2" t="inlineStr">
        <is>
          <t>Tajgaskinn
Gammelgransskål
Garnlav
Granticka
Harticka
Knottrig blåslav
Rosenticka
Tretåig hackspett
Ullticka
Vitgrynig nållav
Tjäder</t>
        </is>
      </c>
      <c r="S223">
        <f>HYPERLINK("https://klasma.github.io/Logging_2421/artfynd/A 15340-2023 artfynd.xlsx", "A 15340-2023")</f>
        <v/>
      </c>
      <c r="T223">
        <f>HYPERLINK("https://klasma.github.io/Logging_2421/kartor/A 15340-2023 karta.png", "A 15340-2023")</f>
        <v/>
      </c>
      <c r="V223">
        <f>HYPERLINK("https://klasma.github.io/Logging_2421/klagomål/A 15340-2023 FSC-klagomål.docx", "A 15340-2023")</f>
        <v/>
      </c>
      <c r="W223">
        <f>HYPERLINK("https://klasma.github.io/Logging_2421/klagomålsmail/A 15340-2023 FSC-klagomål mail.docx", "A 15340-2023")</f>
        <v/>
      </c>
      <c r="X223">
        <f>HYPERLINK("https://klasma.github.io/Logging_2421/tillsyn/A 15340-2023 tillsynsbegäran.docx", "A 15340-2023")</f>
        <v/>
      </c>
      <c r="Y223">
        <f>HYPERLINK("https://klasma.github.io/Logging_2421/tillsynsmail/A 15340-2023 tillsynsbegäran mail.docx", "A 15340-2023")</f>
        <v/>
      </c>
      <c r="Z223">
        <f>HYPERLINK("https://klasma.github.io/Logging_2421/fåglar/A 15340-2023 prioriterade fågelarter.docx", "A 15340-2023")</f>
        <v/>
      </c>
    </row>
    <row r="224" ht="15" customHeight="1">
      <c r="A224" t="inlineStr">
        <is>
          <t>A 33672-2023</t>
        </is>
      </c>
      <c r="B224" s="1" t="n">
        <v>45119</v>
      </c>
      <c r="C224" s="1" t="n">
        <v>45788</v>
      </c>
      <c r="D224" t="inlineStr">
        <is>
          <t>VÄSTERBOTTENS LÄN</t>
        </is>
      </c>
      <c r="E224" t="inlineStr">
        <is>
          <t>VILHELMINA</t>
        </is>
      </c>
      <c r="F224" t="inlineStr">
        <is>
          <t>Allmännings- och besparingsskogar</t>
        </is>
      </c>
      <c r="G224" t="n">
        <v>28.7</v>
      </c>
      <c r="H224" t="n">
        <v>1</v>
      </c>
      <c r="I224" t="n">
        <v>1</v>
      </c>
      <c r="J224" t="n">
        <v>8</v>
      </c>
      <c r="K224" t="n">
        <v>2</v>
      </c>
      <c r="L224" t="n">
        <v>0</v>
      </c>
      <c r="M224" t="n">
        <v>0</v>
      </c>
      <c r="N224" t="n">
        <v>0</v>
      </c>
      <c r="O224" t="n">
        <v>10</v>
      </c>
      <c r="P224" t="n">
        <v>2</v>
      </c>
      <c r="Q224" t="n">
        <v>11</v>
      </c>
      <c r="R224" s="2" t="inlineStr">
        <is>
          <t>Finporing
Ostticka
Doftskinn
Garnlav
Granticka
Harticka
Leptoporus mollis
Rosenticka
Tretåig hackspett
Ullticka
Trådticka</t>
        </is>
      </c>
      <c r="S224">
        <f>HYPERLINK("https://klasma.github.io/Logging_2462/artfynd/A 33672-2023 artfynd.xlsx", "A 33672-2023")</f>
        <v/>
      </c>
      <c r="T224">
        <f>HYPERLINK("https://klasma.github.io/Logging_2462/kartor/A 33672-2023 karta.png", "A 33672-2023")</f>
        <v/>
      </c>
      <c r="V224">
        <f>HYPERLINK("https://klasma.github.io/Logging_2462/klagomål/A 33672-2023 FSC-klagomål.docx", "A 33672-2023")</f>
        <v/>
      </c>
      <c r="W224">
        <f>HYPERLINK("https://klasma.github.io/Logging_2462/klagomålsmail/A 33672-2023 FSC-klagomål mail.docx", "A 33672-2023")</f>
        <v/>
      </c>
      <c r="X224">
        <f>HYPERLINK("https://klasma.github.io/Logging_2462/tillsyn/A 33672-2023 tillsynsbegäran.docx", "A 33672-2023")</f>
        <v/>
      </c>
      <c r="Y224">
        <f>HYPERLINK("https://klasma.github.io/Logging_2462/tillsynsmail/A 33672-2023 tillsynsbegäran mail.docx", "A 33672-2023")</f>
        <v/>
      </c>
      <c r="Z224">
        <f>HYPERLINK("https://klasma.github.io/Logging_2462/fåglar/A 33672-2023 prioriterade fågelarter.docx", "A 33672-2023")</f>
        <v/>
      </c>
    </row>
    <row r="225" ht="15" customHeight="1">
      <c r="A225" t="inlineStr">
        <is>
          <t>A 48247-2023</t>
        </is>
      </c>
      <c r="B225" s="1" t="n">
        <v>45201</v>
      </c>
      <c r="C225" s="1" t="n">
        <v>45788</v>
      </c>
      <c r="D225" t="inlineStr">
        <is>
          <t>VÄSTERBOTTENS LÄN</t>
        </is>
      </c>
      <c r="E225" t="inlineStr">
        <is>
          <t>VILHELMINA</t>
        </is>
      </c>
      <c r="F225" t="inlineStr">
        <is>
          <t>Allmännings- och besparingsskogar</t>
        </is>
      </c>
      <c r="G225" t="n">
        <v>29.7</v>
      </c>
      <c r="H225" t="n">
        <v>1</v>
      </c>
      <c r="I225" t="n">
        <v>0</v>
      </c>
      <c r="J225" t="n">
        <v>10</v>
      </c>
      <c r="K225" t="n">
        <v>1</v>
      </c>
      <c r="L225" t="n">
        <v>0</v>
      </c>
      <c r="M225" t="n">
        <v>0</v>
      </c>
      <c r="N225" t="n">
        <v>0</v>
      </c>
      <c r="O225" t="n">
        <v>11</v>
      </c>
      <c r="P225" t="n">
        <v>1</v>
      </c>
      <c r="Q225" t="n">
        <v>11</v>
      </c>
      <c r="R225" s="2" t="inlineStr">
        <is>
          <t>Liten sotlav
Gammelgransskål
Garnlav
Granticka
Harticka
Knottrig blåslav
Liten svartspik
Rödbrun blekspik
Tretåig hackspett
Ullticka
Vitgrynig nållav</t>
        </is>
      </c>
      <c r="S225">
        <f>HYPERLINK("https://klasma.github.io/Logging_2462/artfynd/A 48247-2023 artfynd.xlsx", "A 48247-2023")</f>
        <v/>
      </c>
      <c r="T225">
        <f>HYPERLINK("https://klasma.github.io/Logging_2462/kartor/A 48247-2023 karta.png", "A 48247-2023")</f>
        <v/>
      </c>
      <c r="V225">
        <f>HYPERLINK("https://klasma.github.io/Logging_2462/klagomål/A 48247-2023 FSC-klagomål.docx", "A 48247-2023")</f>
        <v/>
      </c>
      <c r="W225">
        <f>HYPERLINK("https://klasma.github.io/Logging_2462/klagomålsmail/A 48247-2023 FSC-klagomål mail.docx", "A 48247-2023")</f>
        <v/>
      </c>
      <c r="X225">
        <f>HYPERLINK("https://klasma.github.io/Logging_2462/tillsyn/A 48247-2023 tillsynsbegäran.docx", "A 48247-2023")</f>
        <v/>
      </c>
      <c r="Y225">
        <f>HYPERLINK("https://klasma.github.io/Logging_2462/tillsynsmail/A 48247-2023 tillsynsbegäran mail.docx", "A 48247-2023")</f>
        <v/>
      </c>
      <c r="Z225">
        <f>HYPERLINK("https://klasma.github.io/Logging_2462/fåglar/A 48247-2023 prioriterade fågelarter.docx", "A 48247-2023")</f>
        <v/>
      </c>
    </row>
    <row r="226" ht="15" customHeight="1">
      <c r="A226" t="inlineStr">
        <is>
          <t>A 49141-2023</t>
        </is>
      </c>
      <c r="B226" s="1" t="n">
        <v>45205</v>
      </c>
      <c r="C226" s="1" t="n">
        <v>45788</v>
      </c>
      <c r="D226" t="inlineStr">
        <is>
          <t>VÄSTERBOTTENS LÄN</t>
        </is>
      </c>
      <c r="E226" t="inlineStr">
        <is>
          <t>VILHELMINA</t>
        </is>
      </c>
      <c r="F226" t="inlineStr">
        <is>
          <t>Allmännings- och besparingsskogar</t>
        </is>
      </c>
      <c r="G226" t="n">
        <v>8.1</v>
      </c>
      <c r="H226" t="n">
        <v>2</v>
      </c>
      <c r="I226" t="n">
        <v>1</v>
      </c>
      <c r="J226" t="n">
        <v>10</v>
      </c>
      <c r="K226" t="n">
        <v>0</v>
      </c>
      <c r="L226" t="n">
        <v>0</v>
      </c>
      <c r="M226" t="n">
        <v>0</v>
      </c>
      <c r="N226" t="n">
        <v>0</v>
      </c>
      <c r="O226" t="n">
        <v>10</v>
      </c>
      <c r="P226" t="n">
        <v>0</v>
      </c>
      <c r="Q226" t="n">
        <v>11</v>
      </c>
      <c r="R226" s="2" t="inlineStr">
        <is>
          <t>Garnlav
Granticka
Liten svartspik
Lunglav
Skrovellav
Talltita
Tretåig hackspett
Ullticka
Vitgrynig nållav
Vitskaftad svartspik
Trådticka</t>
        </is>
      </c>
      <c r="S226">
        <f>HYPERLINK("https://klasma.github.io/Logging_2462/artfynd/A 49141-2023 artfynd.xlsx", "A 49141-2023")</f>
        <v/>
      </c>
      <c r="T226">
        <f>HYPERLINK("https://klasma.github.io/Logging_2462/kartor/A 49141-2023 karta.png", "A 49141-2023")</f>
        <v/>
      </c>
      <c r="V226">
        <f>HYPERLINK("https://klasma.github.io/Logging_2462/klagomål/A 49141-2023 FSC-klagomål.docx", "A 49141-2023")</f>
        <v/>
      </c>
      <c r="W226">
        <f>HYPERLINK("https://klasma.github.io/Logging_2462/klagomålsmail/A 49141-2023 FSC-klagomål mail.docx", "A 49141-2023")</f>
        <v/>
      </c>
      <c r="X226">
        <f>HYPERLINK("https://klasma.github.io/Logging_2462/tillsyn/A 49141-2023 tillsynsbegäran.docx", "A 49141-2023")</f>
        <v/>
      </c>
      <c r="Y226">
        <f>HYPERLINK("https://klasma.github.io/Logging_2462/tillsynsmail/A 49141-2023 tillsynsbegäran mail.docx", "A 49141-2023")</f>
        <v/>
      </c>
      <c r="Z226">
        <f>HYPERLINK("https://klasma.github.io/Logging_2462/fåglar/A 49141-2023 prioriterade fågelarter.docx", "A 49141-2023")</f>
        <v/>
      </c>
    </row>
    <row r="227" ht="15" customHeight="1">
      <c r="A227" t="inlineStr">
        <is>
          <t>A 53696-2023</t>
        </is>
      </c>
      <c r="B227" s="1" t="n">
        <v>45230</v>
      </c>
      <c r="C227" s="1" t="n">
        <v>45788</v>
      </c>
      <c r="D227" t="inlineStr">
        <is>
          <t>VÄSTERBOTTENS LÄN</t>
        </is>
      </c>
      <c r="E227" t="inlineStr">
        <is>
          <t>LYCKSELE</t>
        </is>
      </c>
      <c r="F227" t="inlineStr">
        <is>
          <t>Sveaskog</t>
        </is>
      </c>
      <c r="G227" t="n">
        <v>32.7</v>
      </c>
      <c r="H227" t="n">
        <v>0</v>
      </c>
      <c r="I227" t="n">
        <v>3</v>
      </c>
      <c r="J227" t="n">
        <v>8</v>
      </c>
      <c r="K227" t="n">
        <v>0</v>
      </c>
      <c r="L227" t="n">
        <v>0</v>
      </c>
      <c r="M227" t="n">
        <v>0</v>
      </c>
      <c r="N227" t="n">
        <v>0</v>
      </c>
      <c r="O227" t="n">
        <v>8</v>
      </c>
      <c r="P227" t="n">
        <v>0</v>
      </c>
      <c r="Q227" t="n">
        <v>11</v>
      </c>
      <c r="R227" s="2" t="inlineStr">
        <is>
          <t>Blå taggsvamp
Kolflarnlav
Motaggsvamp
Nordtagging
Skrovlig taggsvamp
Vaddporing
Vedflamlav
Vedskivlav
Dropptaggsvamp
Luddlav
Stuplav</t>
        </is>
      </c>
      <c r="S227">
        <f>HYPERLINK("https://klasma.github.io/Logging_2481/artfynd/A 53696-2023 artfynd.xlsx", "A 53696-2023")</f>
        <v/>
      </c>
      <c r="T227">
        <f>HYPERLINK("https://klasma.github.io/Logging_2481/kartor/A 53696-2023 karta.png", "A 53696-2023")</f>
        <v/>
      </c>
      <c r="V227">
        <f>HYPERLINK("https://klasma.github.io/Logging_2481/klagomål/A 53696-2023 FSC-klagomål.docx", "A 53696-2023")</f>
        <v/>
      </c>
      <c r="W227">
        <f>HYPERLINK("https://klasma.github.io/Logging_2481/klagomålsmail/A 53696-2023 FSC-klagomål mail.docx", "A 53696-2023")</f>
        <v/>
      </c>
      <c r="X227">
        <f>HYPERLINK("https://klasma.github.io/Logging_2481/tillsyn/A 53696-2023 tillsynsbegäran.docx", "A 53696-2023")</f>
        <v/>
      </c>
      <c r="Y227">
        <f>HYPERLINK("https://klasma.github.io/Logging_2481/tillsynsmail/A 53696-2023 tillsynsbegäran mail.docx", "A 53696-2023")</f>
        <v/>
      </c>
    </row>
    <row r="228" ht="15" customHeight="1">
      <c r="A228" t="inlineStr">
        <is>
          <t>A 55886-2023</t>
        </is>
      </c>
      <c r="B228" s="1" t="n">
        <v>45233</v>
      </c>
      <c r="C228" s="1" t="n">
        <v>45788</v>
      </c>
      <c r="D228" t="inlineStr">
        <is>
          <t>VÄSTERBOTTENS LÄN</t>
        </is>
      </c>
      <c r="E228" t="inlineStr">
        <is>
          <t>STORUMAN</t>
        </is>
      </c>
      <c r="G228" t="n">
        <v>40.9</v>
      </c>
      <c r="H228" t="n">
        <v>2</v>
      </c>
      <c r="I228" t="n">
        <v>5</v>
      </c>
      <c r="J228" t="n">
        <v>5</v>
      </c>
      <c r="K228" t="n">
        <v>1</v>
      </c>
      <c r="L228" t="n">
        <v>0</v>
      </c>
      <c r="M228" t="n">
        <v>0</v>
      </c>
      <c r="N228" t="n">
        <v>0</v>
      </c>
      <c r="O228" t="n">
        <v>6</v>
      </c>
      <c r="P228" t="n">
        <v>1</v>
      </c>
      <c r="Q228" t="n">
        <v>11</v>
      </c>
      <c r="R228" s="2" t="inlineStr">
        <is>
          <t>Doftticka
Garnlav
Granticka
Lunglav
Skrovellav
Tretåig hackspett
Bårdlav
Gulnål
Luddlav
Skinnlav
Stuplav</t>
        </is>
      </c>
      <c r="S228">
        <f>HYPERLINK("https://klasma.github.io/Logging_2421/artfynd/A 55886-2023 artfynd.xlsx", "A 55886-2023")</f>
        <v/>
      </c>
      <c r="T228">
        <f>HYPERLINK("https://klasma.github.io/Logging_2421/kartor/A 55886-2023 karta.png", "A 55886-2023")</f>
        <v/>
      </c>
      <c r="V228">
        <f>HYPERLINK("https://klasma.github.io/Logging_2421/klagomål/A 55886-2023 FSC-klagomål.docx", "A 55886-2023")</f>
        <v/>
      </c>
      <c r="W228">
        <f>HYPERLINK("https://klasma.github.io/Logging_2421/klagomålsmail/A 55886-2023 FSC-klagomål mail.docx", "A 55886-2023")</f>
        <v/>
      </c>
      <c r="X228">
        <f>HYPERLINK("https://klasma.github.io/Logging_2421/tillsyn/A 55886-2023 tillsynsbegäran.docx", "A 55886-2023")</f>
        <v/>
      </c>
      <c r="Y228">
        <f>HYPERLINK("https://klasma.github.io/Logging_2421/tillsynsmail/A 55886-2023 tillsynsbegäran mail.docx", "A 55886-2023")</f>
        <v/>
      </c>
      <c r="Z228">
        <f>HYPERLINK("https://klasma.github.io/Logging_2421/fåglar/A 55886-2023 prioriterade fågelarter.docx", "A 55886-2023")</f>
        <v/>
      </c>
    </row>
    <row r="229" ht="15" customHeight="1">
      <c r="A229" t="inlineStr">
        <is>
          <t>A 7762-2024</t>
        </is>
      </c>
      <c r="B229" s="1" t="n">
        <v>45349</v>
      </c>
      <c r="C229" s="1" t="n">
        <v>45788</v>
      </c>
      <c r="D229" t="inlineStr">
        <is>
          <t>VÄSTERBOTTENS LÄN</t>
        </is>
      </c>
      <c r="E229" t="inlineStr">
        <is>
          <t>VILHELMINA</t>
        </is>
      </c>
      <c r="G229" t="n">
        <v>4.8</v>
      </c>
      <c r="H229" t="n">
        <v>3</v>
      </c>
      <c r="I229" t="n">
        <v>2</v>
      </c>
      <c r="J229" t="n">
        <v>9</v>
      </c>
      <c r="K229" t="n">
        <v>0</v>
      </c>
      <c r="L229" t="n">
        <v>0</v>
      </c>
      <c r="M229" t="n">
        <v>0</v>
      </c>
      <c r="N229" t="n">
        <v>0</v>
      </c>
      <c r="O229" t="n">
        <v>9</v>
      </c>
      <c r="P229" t="n">
        <v>0</v>
      </c>
      <c r="Q229" t="n">
        <v>11</v>
      </c>
      <c r="R229" s="2" t="inlineStr">
        <is>
          <t>Gammelgransskål
Garnlav
Granticka
Järpe
Skogshare
Skrovellav
Talltita
Tretåig hackspett
Vitgrynig nållav
Korallblylav
Luddlav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9162-2024</t>
        </is>
      </c>
      <c r="B230" s="1" t="n">
        <v>45358</v>
      </c>
      <c r="C230" s="1" t="n">
        <v>45788</v>
      </c>
      <c r="D230" t="inlineStr">
        <is>
          <t>VÄSTERBOTTENS LÄN</t>
        </is>
      </c>
      <c r="E230" t="inlineStr">
        <is>
          <t>SKELLEFTEÅ</t>
        </is>
      </c>
      <c r="G230" t="n">
        <v>19.7</v>
      </c>
      <c r="H230" t="n">
        <v>3</v>
      </c>
      <c r="I230" t="n">
        <v>1</v>
      </c>
      <c r="J230" t="n">
        <v>8</v>
      </c>
      <c r="K230" t="n">
        <v>2</v>
      </c>
      <c r="L230" t="n">
        <v>0</v>
      </c>
      <c r="M230" t="n">
        <v>0</v>
      </c>
      <c r="N230" t="n">
        <v>0</v>
      </c>
      <c r="O230" t="n">
        <v>10</v>
      </c>
      <c r="P230" t="n">
        <v>2</v>
      </c>
      <c r="Q230" t="n">
        <v>11</v>
      </c>
      <c r="R230" s="2" t="inlineStr">
        <is>
          <t>Knärot
Ulltickeporing
Gammelgransskål
Garnlav
Granticka
Spillkråka
Tallriska
Tretåig hackspett
Ullticka
Violettgrå tagellav
Vedticka</t>
        </is>
      </c>
      <c r="S230">
        <f>HYPERLINK("https://klasma.github.io/Logging_2482/artfynd/A 9162-2024 artfynd.xlsx", "A 9162-2024")</f>
        <v/>
      </c>
      <c r="T230">
        <f>HYPERLINK("https://klasma.github.io/Logging_2482/kartor/A 9162-2024 karta.png", "A 9162-2024")</f>
        <v/>
      </c>
      <c r="U230">
        <f>HYPERLINK("https://klasma.github.io/Logging_2482/knärot/A 9162-2024 karta knärot.png", "A 9162-2024")</f>
        <v/>
      </c>
      <c r="V230">
        <f>HYPERLINK("https://klasma.github.io/Logging_2482/klagomål/A 9162-2024 FSC-klagomål.docx", "A 9162-2024")</f>
        <v/>
      </c>
      <c r="W230">
        <f>HYPERLINK("https://klasma.github.io/Logging_2482/klagomålsmail/A 9162-2024 FSC-klagomål mail.docx", "A 9162-2024")</f>
        <v/>
      </c>
      <c r="X230">
        <f>HYPERLINK("https://klasma.github.io/Logging_2482/tillsyn/A 9162-2024 tillsynsbegäran.docx", "A 9162-2024")</f>
        <v/>
      </c>
      <c r="Y230">
        <f>HYPERLINK("https://klasma.github.io/Logging_2482/tillsynsmail/A 9162-2024 tillsynsbegäran mail.docx", "A 9162-2024")</f>
        <v/>
      </c>
      <c r="Z230">
        <f>HYPERLINK("https://klasma.github.io/Logging_2482/fåglar/A 9162-2024 prioriterade fågelarter.docx", "A 9162-2024")</f>
        <v/>
      </c>
    </row>
    <row r="231" ht="15" customHeight="1">
      <c r="A231" t="inlineStr">
        <is>
          <t>A 24124-2024</t>
        </is>
      </c>
      <c r="B231" s="1" t="n">
        <v>45456</v>
      </c>
      <c r="C231" s="1" t="n">
        <v>45788</v>
      </c>
      <c r="D231" t="inlineStr">
        <is>
          <t>VÄSTERBOTTENS LÄN</t>
        </is>
      </c>
      <c r="E231" t="inlineStr">
        <is>
          <t>BJURHOLM</t>
        </is>
      </c>
      <c r="G231" t="n">
        <v>13.9</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24124-2024 artfynd.xlsx", "A 24124-2024")</f>
        <v/>
      </c>
      <c r="T231">
        <f>HYPERLINK("https://klasma.github.io/Logging_2403/kartor/A 24124-2024 karta.png", "A 24124-2024")</f>
        <v/>
      </c>
      <c r="V231">
        <f>HYPERLINK("https://klasma.github.io/Logging_2403/klagomål/A 24124-2024 FSC-klagomål.docx", "A 24124-2024")</f>
        <v/>
      </c>
      <c r="W231">
        <f>HYPERLINK("https://klasma.github.io/Logging_2403/klagomålsmail/A 24124-2024 FSC-klagomål mail.docx", "A 24124-2024")</f>
        <v/>
      </c>
      <c r="X231">
        <f>HYPERLINK("https://klasma.github.io/Logging_2403/tillsyn/A 24124-2024 tillsynsbegäran.docx", "A 24124-2024")</f>
        <v/>
      </c>
      <c r="Y231">
        <f>HYPERLINK("https://klasma.github.io/Logging_2403/tillsynsmail/A 24124-2024 tillsynsbegäran mail.docx", "A 24124-2024")</f>
        <v/>
      </c>
      <c r="Z231">
        <f>HYPERLINK("https://klasma.github.io/Logging_2403/fåglar/A 24124-2024 prioriterade fågelarter.docx", "A 24124-2024")</f>
        <v/>
      </c>
    </row>
    <row r="232" ht="15" customHeight="1">
      <c r="A232" t="inlineStr">
        <is>
          <t>A 31476-2024</t>
        </is>
      </c>
      <c r="B232" s="1" t="n">
        <v>45505</v>
      </c>
      <c r="C232" s="1" t="n">
        <v>45788</v>
      </c>
      <c r="D232" t="inlineStr">
        <is>
          <t>VÄSTERBOTTENS LÄN</t>
        </is>
      </c>
      <c r="E232" t="inlineStr">
        <is>
          <t>DOROTEA</t>
        </is>
      </c>
      <c r="F232" t="inlineStr">
        <is>
          <t>SCA</t>
        </is>
      </c>
      <c r="G232" t="n">
        <v>7</v>
      </c>
      <c r="H232" t="n">
        <v>1</v>
      </c>
      <c r="I232" t="n">
        <v>2</v>
      </c>
      <c r="J232" t="n">
        <v>8</v>
      </c>
      <c r="K232" t="n">
        <v>1</v>
      </c>
      <c r="L232" t="n">
        <v>0</v>
      </c>
      <c r="M232" t="n">
        <v>0</v>
      </c>
      <c r="N232" t="n">
        <v>0</v>
      </c>
      <c r="O232" t="n">
        <v>9</v>
      </c>
      <c r="P232" t="n">
        <v>1</v>
      </c>
      <c r="Q232" t="n">
        <v>11</v>
      </c>
      <c r="R232" s="2" t="inlineStr">
        <is>
          <t>Ostticka
Garnlav
Granticka
Harticka
Lunglav
Rosenticka
Skrovellav
Tretåig hackspett
Ullticka
Luddlav
Stuplav</t>
        </is>
      </c>
      <c r="S232">
        <f>HYPERLINK("https://klasma.github.io/Logging_2425/artfynd/A 31476-2024 artfynd.xlsx", "A 31476-2024")</f>
        <v/>
      </c>
      <c r="T232">
        <f>HYPERLINK("https://klasma.github.io/Logging_2425/kartor/A 31476-2024 karta.png", "A 31476-2024")</f>
        <v/>
      </c>
      <c r="V232">
        <f>HYPERLINK("https://klasma.github.io/Logging_2425/klagomål/A 31476-2024 FSC-klagomål.docx", "A 31476-2024")</f>
        <v/>
      </c>
      <c r="W232">
        <f>HYPERLINK("https://klasma.github.io/Logging_2425/klagomålsmail/A 31476-2024 FSC-klagomål mail.docx", "A 31476-2024")</f>
        <v/>
      </c>
      <c r="X232">
        <f>HYPERLINK("https://klasma.github.io/Logging_2425/tillsyn/A 31476-2024 tillsynsbegäran.docx", "A 31476-2024")</f>
        <v/>
      </c>
      <c r="Y232">
        <f>HYPERLINK("https://klasma.github.io/Logging_2425/tillsynsmail/A 31476-2024 tillsynsbegäran mail.docx", "A 31476-2024")</f>
        <v/>
      </c>
      <c r="Z232">
        <f>HYPERLINK("https://klasma.github.io/Logging_2425/fåglar/A 31476-2024 prioriterade fågelarter.docx", "A 31476-2024")</f>
        <v/>
      </c>
    </row>
    <row r="233" ht="15" customHeight="1">
      <c r="A233" t="inlineStr">
        <is>
          <t>A 40876-2024</t>
        </is>
      </c>
      <c r="B233" s="1" t="n">
        <v>45558</v>
      </c>
      <c r="C233" s="1" t="n">
        <v>45788</v>
      </c>
      <c r="D233" t="inlineStr">
        <is>
          <t>VÄSTERBOTTENS LÄN</t>
        </is>
      </c>
      <c r="E233" t="inlineStr">
        <is>
          <t>VILHELMINA</t>
        </is>
      </c>
      <c r="F233" t="inlineStr">
        <is>
          <t>Allmännings- och besparingsskogar</t>
        </is>
      </c>
      <c r="G233" t="n">
        <v>18.8</v>
      </c>
      <c r="H233" t="n">
        <v>2</v>
      </c>
      <c r="I233" t="n">
        <v>4</v>
      </c>
      <c r="J233" t="n">
        <v>5</v>
      </c>
      <c r="K233" t="n">
        <v>1</v>
      </c>
      <c r="L233" t="n">
        <v>0</v>
      </c>
      <c r="M233" t="n">
        <v>0</v>
      </c>
      <c r="N233" t="n">
        <v>0</v>
      </c>
      <c r="O233" t="n">
        <v>6</v>
      </c>
      <c r="P233" t="n">
        <v>1</v>
      </c>
      <c r="Q233" t="n">
        <v>11</v>
      </c>
      <c r="R233" s="2" t="inlineStr">
        <is>
          <t>Smalskaftslav
Garnlav
Lunglav
Skrovellav
Talltita
Vitgrynig nållav
Bårdlav
Gulnål
Luddlav
Stuplav
Lavskrika</t>
        </is>
      </c>
      <c r="S233">
        <f>HYPERLINK("https://klasma.github.io/Logging_2462/artfynd/A 40876-2024 artfynd.xlsx", "A 40876-2024")</f>
        <v/>
      </c>
      <c r="T233">
        <f>HYPERLINK("https://klasma.github.io/Logging_2462/kartor/A 40876-2024 karta.png", "A 40876-2024")</f>
        <v/>
      </c>
      <c r="V233">
        <f>HYPERLINK("https://klasma.github.io/Logging_2462/klagomål/A 40876-2024 FSC-klagomål.docx", "A 40876-2024")</f>
        <v/>
      </c>
      <c r="W233">
        <f>HYPERLINK("https://klasma.github.io/Logging_2462/klagomålsmail/A 40876-2024 FSC-klagomål mail.docx", "A 40876-2024")</f>
        <v/>
      </c>
      <c r="X233">
        <f>HYPERLINK("https://klasma.github.io/Logging_2462/tillsyn/A 40876-2024 tillsynsbegäran.docx", "A 40876-2024")</f>
        <v/>
      </c>
      <c r="Y233">
        <f>HYPERLINK("https://klasma.github.io/Logging_2462/tillsynsmail/A 40876-2024 tillsynsbegäran mail.docx", "A 40876-2024")</f>
        <v/>
      </c>
      <c r="Z233">
        <f>HYPERLINK("https://klasma.github.io/Logging_2462/fåglar/A 40876-2024 prioriterade fågelarter.docx", "A 40876-2024")</f>
        <v/>
      </c>
    </row>
    <row r="234" ht="15" customHeight="1">
      <c r="A234" t="inlineStr">
        <is>
          <t>A 46142-2024</t>
        </is>
      </c>
      <c r="B234" s="1" t="n">
        <v>45581</v>
      </c>
      <c r="C234" s="1" t="n">
        <v>45788</v>
      </c>
      <c r="D234" t="inlineStr">
        <is>
          <t>VÄSTERBOTTENS LÄN</t>
        </is>
      </c>
      <c r="E234" t="inlineStr">
        <is>
          <t>UMEÅ</t>
        </is>
      </c>
      <c r="G234" t="n">
        <v>6.2</v>
      </c>
      <c r="H234" t="n">
        <v>2</v>
      </c>
      <c r="I234" t="n">
        <v>2</v>
      </c>
      <c r="J234" t="n">
        <v>8</v>
      </c>
      <c r="K234" t="n">
        <v>1</v>
      </c>
      <c r="L234" t="n">
        <v>0</v>
      </c>
      <c r="M234" t="n">
        <v>0</v>
      </c>
      <c r="N234" t="n">
        <v>0</v>
      </c>
      <c r="O234" t="n">
        <v>9</v>
      </c>
      <c r="P234" t="n">
        <v>1</v>
      </c>
      <c r="Q234" t="n">
        <v>11</v>
      </c>
      <c r="R234" s="2" t="inlineStr">
        <is>
          <t>Rynkskinn
Garnlav
Granticka
Harticka
Orange taggsvamp
Spillkråka
Stjärntagging
Tretåig hackspett
Ullticka
Trådticka
Vedticka</t>
        </is>
      </c>
      <c r="S234">
        <f>HYPERLINK("https://klasma.github.io/Logging_2480/artfynd/A 46142-2024 artfynd.xlsx", "A 46142-2024")</f>
        <v/>
      </c>
      <c r="T234">
        <f>HYPERLINK("https://klasma.github.io/Logging_2480/kartor/A 46142-2024 karta.png", "A 46142-2024")</f>
        <v/>
      </c>
      <c r="V234">
        <f>HYPERLINK("https://klasma.github.io/Logging_2480/klagomål/A 46142-2024 FSC-klagomål.docx", "A 46142-2024")</f>
        <v/>
      </c>
      <c r="W234">
        <f>HYPERLINK("https://klasma.github.io/Logging_2480/klagomålsmail/A 46142-2024 FSC-klagomål mail.docx", "A 46142-2024")</f>
        <v/>
      </c>
      <c r="X234">
        <f>HYPERLINK("https://klasma.github.io/Logging_2480/tillsyn/A 46142-2024 tillsynsbegäran.docx", "A 46142-2024")</f>
        <v/>
      </c>
      <c r="Y234">
        <f>HYPERLINK("https://klasma.github.io/Logging_2480/tillsynsmail/A 46142-2024 tillsynsbegäran mail.docx", "A 46142-2024")</f>
        <v/>
      </c>
      <c r="Z234">
        <f>HYPERLINK("https://klasma.github.io/Logging_2480/fåglar/A 46142-2024 prioriterade fågelarter.docx", "A 46142-2024")</f>
        <v/>
      </c>
    </row>
    <row r="235" ht="15" customHeight="1">
      <c r="A235" t="inlineStr">
        <is>
          <t>A 50025-2019</t>
        </is>
      </c>
      <c r="B235" s="1" t="n">
        <v>43731</v>
      </c>
      <c r="C235" s="1" t="n">
        <v>45788</v>
      </c>
      <c r="D235" t="inlineStr">
        <is>
          <t>VÄSTERBOTTENS LÄN</t>
        </is>
      </c>
      <c r="E235" t="inlineStr">
        <is>
          <t>VILHELMINA</t>
        </is>
      </c>
      <c r="F235" t="inlineStr">
        <is>
          <t>Allmännings- och besparingsskogar</t>
        </is>
      </c>
      <c r="G235" t="n">
        <v>18.1</v>
      </c>
      <c r="H235" t="n">
        <v>0</v>
      </c>
      <c r="I235" t="n">
        <v>2</v>
      </c>
      <c r="J235" t="n">
        <v>5</v>
      </c>
      <c r="K235" t="n">
        <v>3</v>
      </c>
      <c r="L235" t="n">
        <v>0</v>
      </c>
      <c r="M235" t="n">
        <v>0</v>
      </c>
      <c r="N235" t="n">
        <v>0</v>
      </c>
      <c r="O235" t="n">
        <v>8</v>
      </c>
      <c r="P235" t="n">
        <v>3</v>
      </c>
      <c r="Q235" t="n">
        <v>10</v>
      </c>
      <c r="R235" s="2" t="inlineStr">
        <is>
          <t>Laxporing
Rynkskinn
Tajgaskinn
Granticka
Harticka
Knottrig blåslav
Rosenticka
Ullticka
Trådticka
Vedticka</t>
        </is>
      </c>
      <c r="S235">
        <f>HYPERLINK("https://klasma.github.io/Logging_2462/artfynd/A 50025-2019 artfynd.xlsx", "A 50025-2019")</f>
        <v/>
      </c>
      <c r="T235">
        <f>HYPERLINK("https://klasma.github.io/Logging_2462/kartor/A 50025-2019 karta.png", "A 50025-2019")</f>
        <v/>
      </c>
      <c r="V235">
        <f>HYPERLINK("https://klasma.github.io/Logging_2462/klagomål/A 50025-2019 FSC-klagomål.docx", "A 50025-2019")</f>
        <v/>
      </c>
      <c r="W235">
        <f>HYPERLINK("https://klasma.github.io/Logging_2462/klagomålsmail/A 50025-2019 FSC-klagomål mail.docx", "A 50025-2019")</f>
        <v/>
      </c>
      <c r="X235">
        <f>HYPERLINK("https://klasma.github.io/Logging_2462/tillsyn/A 50025-2019 tillsynsbegäran.docx", "A 50025-2019")</f>
        <v/>
      </c>
      <c r="Y235">
        <f>HYPERLINK("https://klasma.github.io/Logging_2462/tillsynsmail/A 50025-2019 tillsynsbegäran mail.docx", "A 50025-2019")</f>
        <v/>
      </c>
    </row>
    <row r="236" ht="15" customHeight="1">
      <c r="A236" t="inlineStr">
        <is>
          <t>A 63587-2019</t>
        </is>
      </c>
      <c r="B236" s="1" t="n">
        <v>43780</v>
      </c>
      <c r="C236" s="1" t="n">
        <v>45788</v>
      </c>
      <c r="D236" t="inlineStr">
        <is>
          <t>VÄSTERBOTTENS LÄN</t>
        </is>
      </c>
      <c r="E236" t="inlineStr">
        <is>
          <t>SKELLEFTEÅ</t>
        </is>
      </c>
      <c r="F236" t="inlineStr">
        <is>
          <t>Naturvårdsverket</t>
        </is>
      </c>
      <c r="G236" t="n">
        <v>6.1</v>
      </c>
      <c r="H236" t="n">
        <v>5</v>
      </c>
      <c r="I236" t="n">
        <v>4</v>
      </c>
      <c r="J236" t="n">
        <v>2</v>
      </c>
      <c r="K236" t="n">
        <v>0</v>
      </c>
      <c r="L236" t="n">
        <v>1</v>
      </c>
      <c r="M236" t="n">
        <v>0</v>
      </c>
      <c r="N236" t="n">
        <v>0</v>
      </c>
      <c r="O236" t="n">
        <v>3</v>
      </c>
      <c r="P236" t="n">
        <v>1</v>
      </c>
      <c r="Q236" t="n">
        <v>10</v>
      </c>
      <c r="R236" s="2" t="inlineStr">
        <is>
          <t>Grönfink
Granticka
Nordfladdermus
Barkticka
Robust tickgnagare
Tibast
Vedticka
Skogsduva
Vattenfladdermus
Åkergroda</t>
        </is>
      </c>
      <c r="S236">
        <f>HYPERLINK("https://klasma.github.io/Logging_2482/artfynd/A 63587-2019 artfynd.xlsx", "A 63587-2019")</f>
        <v/>
      </c>
      <c r="T236">
        <f>HYPERLINK("https://klasma.github.io/Logging_2482/kartor/A 63587-2019 karta.png", "A 63587-2019")</f>
        <v/>
      </c>
      <c r="V236">
        <f>HYPERLINK("https://klasma.github.io/Logging_2482/klagomål/A 63587-2019 FSC-klagomål.docx", "A 63587-2019")</f>
        <v/>
      </c>
      <c r="W236">
        <f>HYPERLINK("https://klasma.github.io/Logging_2482/klagomålsmail/A 63587-2019 FSC-klagomål mail.docx", "A 63587-2019")</f>
        <v/>
      </c>
      <c r="X236">
        <f>HYPERLINK("https://klasma.github.io/Logging_2482/tillsyn/A 63587-2019 tillsynsbegäran.docx", "A 63587-2019")</f>
        <v/>
      </c>
      <c r="Y236">
        <f>HYPERLINK("https://klasma.github.io/Logging_2482/tillsynsmail/A 63587-2019 tillsynsbegäran mail.docx", "A 63587-2019")</f>
        <v/>
      </c>
      <c r="Z236">
        <f>HYPERLINK("https://klasma.github.io/Logging_2482/fåglar/A 63587-2019 prioriterade fågelarter.docx", "A 63587-2019")</f>
        <v/>
      </c>
    </row>
    <row r="237" ht="15" customHeight="1">
      <c r="A237" t="inlineStr">
        <is>
          <t>A 65548-2019</t>
        </is>
      </c>
      <c r="B237" s="1" t="n">
        <v>43803</v>
      </c>
      <c r="C237" s="1" t="n">
        <v>45788</v>
      </c>
      <c r="D237" t="inlineStr">
        <is>
          <t>VÄSTERBOTTENS LÄN</t>
        </is>
      </c>
      <c r="E237" t="inlineStr">
        <is>
          <t>DOROTEA</t>
        </is>
      </c>
      <c r="F237" t="inlineStr">
        <is>
          <t>SCA</t>
        </is>
      </c>
      <c r="G237" t="n">
        <v>13.4</v>
      </c>
      <c r="H237" t="n">
        <v>1</v>
      </c>
      <c r="I237" t="n">
        <v>0</v>
      </c>
      <c r="J237" t="n">
        <v>8</v>
      </c>
      <c r="K237" t="n">
        <v>2</v>
      </c>
      <c r="L237" t="n">
        <v>0</v>
      </c>
      <c r="M237" t="n">
        <v>0</v>
      </c>
      <c r="N237" t="n">
        <v>0</v>
      </c>
      <c r="O237" t="n">
        <v>10</v>
      </c>
      <c r="P237" t="n">
        <v>2</v>
      </c>
      <c r="Q237" t="n">
        <v>10</v>
      </c>
      <c r="R237" s="2" t="inlineStr">
        <is>
          <t>Lappticka
Rynkskinn
Doftskinn
Gammelgransskål
Granticka
Gränsticka
Harticka
Rosenticka
Tretåig hackspett
Ullticka</t>
        </is>
      </c>
      <c r="S237">
        <f>HYPERLINK("https://klasma.github.io/Logging_2425/artfynd/A 65548-2019 artfynd.xlsx", "A 65548-2019")</f>
        <v/>
      </c>
      <c r="T237">
        <f>HYPERLINK("https://klasma.github.io/Logging_2425/kartor/A 65548-2019 karta.png", "A 65548-2019")</f>
        <v/>
      </c>
      <c r="V237">
        <f>HYPERLINK("https://klasma.github.io/Logging_2425/klagomål/A 65548-2019 FSC-klagomål.docx", "A 65548-2019")</f>
        <v/>
      </c>
      <c r="W237">
        <f>HYPERLINK("https://klasma.github.io/Logging_2425/klagomålsmail/A 65548-2019 FSC-klagomål mail.docx", "A 65548-2019")</f>
        <v/>
      </c>
      <c r="X237">
        <f>HYPERLINK("https://klasma.github.io/Logging_2425/tillsyn/A 65548-2019 tillsynsbegäran.docx", "A 65548-2019")</f>
        <v/>
      </c>
      <c r="Y237">
        <f>HYPERLINK("https://klasma.github.io/Logging_2425/tillsynsmail/A 65548-2019 tillsynsbegäran mail.docx", "A 65548-2019")</f>
        <v/>
      </c>
      <c r="Z237">
        <f>HYPERLINK("https://klasma.github.io/Logging_2425/fåglar/A 65548-2019 prioriterade fågelarter.docx", "A 65548-2019")</f>
        <v/>
      </c>
    </row>
    <row r="238" ht="15" customHeight="1">
      <c r="A238" t="inlineStr">
        <is>
          <t>A 3137-2020</t>
        </is>
      </c>
      <c r="B238" s="1" t="n">
        <v>43851</v>
      </c>
      <c r="C238" s="1" t="n">
        <v>45788</v>
      </c>
      <c r="D238" t="inlineStr">
        <is>
          <t>VÄSTERBOTTENS LÄN</t>
        </is>
      </c>
      <c r="E238" t="inlineStr">
        <is>
          <t>SORSELE</t>
        </is>
      </c>
      <c r="G238" t="n">
        <v>12.3</v>
      </c>
      <c r="H238" t="n">
        <v>1</v>
      </c>
      <c r="I238" t="n">
        <v>1</v>
      </c>
      <c r="J238" t="n">
        <v>9</v>
      </c>
      <c r="K238" t="n">
        <v>0</v>
      </c>
      <c r="L238" t="n">
        <v>0</v>
      </c>
      <c r="M238" t="n">
        <v>0</v>
      </c>
      <c r="N238" t="n">
        <v>0</v>
      </c>
      <c r="O238" t="n">
        <v>9</v>
      </c>
      <c r="P238" t="n">
        <v>0</v>
      </c>
      <c r="Q238" t="n">
        <v>10</v>
      </c>
      <c r="R238" s="2" t="inlineStr">
        <is>
          <t>Gammelgransskål
Garnlav
Granticka
Gränsticka
Harticka
Knottrig blåslav
Rödbrun blekspik
Tretåig hackspett
Ullticka
Stuplav</t>
        </is>
      </c>
      <c r="S238">
        <f>HYPERLINK("https://klasma.github.io/Logging_2422/artfynd/A 3137-2020 artfynd.xlsx", "A 3137-2020")</f>
        <v/>
      </c>
      <c r="T238">
        <f>HYPERLINK("https://klasma.github.io/Logging_2422/kartor/A 3137-2020 karta.png", "A 3137-2020")</f>
        <v/>
      </c>
      <c r="V238">
        <f>HYPERLINK("https://klasma.github.io/Logging_2422/klagomål/A 3137-2020 FSC-klagomål.docx", "A 3137-2020")</f>
        <v/>
      </c>
      <c r="W238">
        <f>HYPERLINK("https://klasma.github.io/Logging_2422/klagomålsmail/A 3137-2020 FSC-klagomål mail.docx", "A 3137-2020")</f>
        <v/>
      </c>
      <c r="X238">
        <f>HYPERLINK("https://klasma.github.io/Logging_2422/tillsyn/A 3137-2020 tillsynsbegäran.docx", "A 3137-2020")</f>
        <v/>
      </c>
      <c r="Y238">
        <f>HYPERLINK("https://klasma.github.io/Logging_2422/tillsynsmail/A 3137-2020 tillsynsbegäran mail.docx", "A 3137-2020")</f>
        <v/>
      </c>
      <c r="Z238">
        <f>HYPERLINK("https://klasma.github.io/Logging_2422/fåglar/A 3137-2020 prioriterade fågelarter.docx", "A 3137-2020")</f>
        <v/>
      </c>
    </row>
    <row r="239" ht="15" customHeight="1">
      <c r="A239" t="inlineStr">
        <is>
          <t>A 28164-2020</t>
        </is>
      </c>
      <c r="B239" s="1" t="n">
        <v>43997</v>
      </c>
      <c r="C239" s="1" t="n">
        <v>45788</v>
      </c>
      <c r="D239" t="inlineStr">
        <is>
          <t>VÄSTERBOTTENS LÄN</t>
        </is>
      </c>
      <c r="E239" t="inlineStr">
        <is>
          <t>STORUMAN</t>
        </is>
      </c>
      <c r="F239" t="inlineStr">
        <is>
          <t>Sveaskog</t>
        </is>
      </c>
      <c r="G239" t="n">
        <v>3.9</v>
      </c>
      <c r="H239" t="n">
        <v>6</v>
      </c>
      <c r="I239" t="n">
        <v>2</v>
      </c>
      <c r="J239" t="n">
        <v>3</v>
      </c>
      <c r="K239" t="n">
        <v>2</v>
      </c>
      <c r="L239" t="n">
        <v>0</v>
      </c>
      <c r="M239" t="n">
        <v>0</v>
      </c>
      <c r="N239" t="n">
        <v>0</v>
      </c>
      <c r="O239" t="n">
        <v>5</v>
      </c>
      <c r="P239" t="n">
        <v>2</v>
      </c>
      <c r="Q239" t="n">
        <v>10</v>
      </c>
      <c r="R239" s="2" t="inlineStr">
        <is>
          <t>Doftticka
Knärot
Garnlav
Lunglav
Tretåig hackspett
Stuplav
Vedticka
Kungsfågel
Skogsduva
Revlummer</t>
        </is>
      </c>
      <c r="S239">
        <f>HYPERLINK("https://klasma.github.io/Logging_2421/artfynd/A 28164-2020 artfynd.xlsx", "A 28164-2020")</f>
        <v/>
      </c>
      <c r="T239">
        <f>HYPERLINK("https://klasma.github.io/Logging_2421/kartor/A 28164-2020 karta.png", "A 28164-2020")</f>
        <v/>
      </c>
      <c r="U239">
        <f>HYPERLINK("https://klasma.github.io/Logging_2421/knärot/A 28164-2020 karta knärot.png", "A 28164-2020")</f>
        <v/>
      </c>
      <c r="V239">
        <f>HYPERLINK("https://klasma.github.io/Logging_2421/klagomål/A 28164-2020 FSC-klagomål.docx", "A 28164-2020")</f>
        <v/>
      </c>
      <c r="W239">
        <f>HYPERLINK("https://klasma.github.io/Logging_2421/klagomålsmail/A 28164-2020 FSC-klagomål mail.docx", "A 28164-2020")</f>
        <v/>
      </c>
      <c r="X239">
        <f>HYPERLINK("https://klasma.github.io/Logging_2421/tillsyn/A 28164-2020 tillsynsbegäran.docx", "A 28164-2020")</f>
        <v/>
      </c>
      <c r="Y239">
        <f>HYPERLINK("https://klasma.github.io/Logging_2421/tillsynsmail/A 28164-2020 tillsynsbegäran mail.docx", "A 28164-2020")</f>
        <v/>
      </c>
      <c r="Z239">
        <f>HYPERLINK("https://klasma.github.io/Logging_2421/fåglar/A 28164-2020 prioriterade fågelarter.docx", "A 28164-2020")</f>
        <v/>
      </c>
    </row>
    <row r="240" ht="15" customHeight="1">
      <c r="A240" t="inlineStr">
        <is>
          <t>A 43934-2020</t>
        </is>
      </c>
      <c r="B240" s="1" t="n">
        <v>44078</v>
      </c>
      <c r="C240" s="1" t="n">
        <v>45788</v>
      </c>
      <c r="D240" t="inlineStr">
        <is>
          <t>VÄSTERBOTTENS LÄN</t>
        </is>
      </c>
      <c r="E240" t="inlineStr">
        <is>
          <t>STORUMAN</t>
        </is>
      </c>
      <c r="F240" t="inlineStr">
        <is>
          <t>Allmännings- och besparingsskogar</t>
        </is>
      </c>
      <c r="G240" t="n">
        <v>81.8</v>
      </c>
      <c r="H240" t="n">
        <v>1</v>
      </c>
      <c r="I240" t="n">
        <v>3</v>
      </c>
      <c r="J240" t="n">
        <v>7</v>
      </c>
      <c r="K240" t="n">
        <v>0</v>
      </c>
      <c r="L240" t="n">
        <v>0</v>
      </c>
      <c r="M240" t="n">
        <v>0</v>
      </c>
      <c r="N240" t="n">
        <v>0</v>
      </c>
      <c r="O240" t="n">
        <v>7</v>
      </c>
      <c r="P240" t="n">
        <v>0</v>
      </c>
      <c r="Q240" t="n">
        <v>10</v>
      </c>
      <c r="R240" s="2" t="inlineStr">
        <is>
          <t>Gammelgransskål
Garnlav
Granticka
Gränsticka
Harticka
Knottrig blåslav
Tretåig hackspett
Gulnål
Trådticka
Vedticka</t>
        </is>
      </c>
      <c r="S240">
        <f>HYPERLINK("https://klasma.github.io/Logging_2421/artfynd/A 43934-2020 artfynd.xlsx", "A 43934-2020")</f>
        <v/>
      </c>
      <c r="T240">
        <f>HYPERLINK("https://klasma.github.io/Logging_2421/kartor/A 43934-2020 karta.png", "A 43934-2020")</f>
        <v/>
      </c>
      <c r="V240">
        <f>HYPERLINK("https://klasma.github.io/Logging_2421/klagomål/A 43934-2020 FSC-klagomål.docx", "A 43934-2020")</f>
        <v/>
      </c>
      <c r="W240">
        <f>HYPERLINK("https://klasma.github.io/Logging_2421/klagomålsmail/A 43934-2020 FSC-klagomål mail.docx", "A 43934-2020")</f>
        <v/>
      </c>
      <c r="X240">
        <f>HYPERLINK("https://klasma.github.io/Logging_2421/tillsyn/A 43934-2020 tillsynsbegäran.docx", "A 43934-2020")</f>
        <v/>
      </c>
      <c r="Y240">
        <f>HYPERLINK("https://klasma.github.io/Logging_2421/tillsynsmail/A 43934-2020 tillsynsbegäran mail.docx", "A 43934-2020")</f>
        <v/>
      </c>
      <c r="Z240">
        <f>HYPERLINK("https://klasma.github.io/Logging_2421/fåglar/A 43934-2020 prioriterade fågelarter.docx", "A 43934-2020")</f>
        <v/>
      </c>
    </row>
    <row r="241" ht="15" customHeight="1">
      <c r="A241" t="inlineStr">
        <is>
          <t>A 55811-2020</t>
        </is>
      </c>
      <c r="B241" s="1" t="n">
        <v>44132</v>
      </c>
      <c r="C241" s="1" t="n">
        <v>45788</v>
      </c>
      <c r="D241" t="inlineStr">
        <is>
          <t>VÄSTERBOTTENS LÄN</t>
        </is>
      </c>
      <c r="E241" t="inlineStr">
        <is>
          <t>SKELLEFTEÅ</t>
        </is>
      </c>
      <c r="F241" t="inlineStr">
        <is>
          <t>Sveaskog</t>
        </is>
      </c>
      <c r="G241" t="n">
        <v>19</v>
      </c>
      <c r="H241" t="n">
        <v>0</v>
      </c>
      <c r="I241" t="n">
        <v>2</v>
      </c>
      <c r="J241" t="n">
        <v>8</v>
      </c>
      <c r="K241" t="n">
        <v>0</v>
      </c>
      <c r="L241" t="n">
        <v>0</v>
      </c>
      <c r="M241" t="n">
        <v>0</v>
      </c>
      <c r="N241" t="n">
        <v>0</v>
      </c>
      <c r="O241" t="n">
        <v>8</v>
      </c>
      <c r="P241" t="n">
        <v>0</v>
      </c>
      <c r="Q241" t="n">
        <v>10</v>
      </c>
      <c r="R241" s="2" t="inlineStr">
        <is>
          <t>Doftskinn
Gammelgransskål
Garnlav
Granticka
Lunglav
Ullticka
Violettgrå tagellav
Vitgrynig nållav
Skinnlav
Ögonpyrola</t>
        </is>
      </c>
      <c r="S241">
        <f>HYPERLINK("https://klasma.github.io/Logging_2482/artfynd/A 55811-2020 artfynd.xlsx", "A 55811-2020")</f>
        <v/>
      </c>
      <c r="T241">
        <f>HYPERLINK("https://klasma.github.io/Logging_2482/kartor/A 55811-2020 karta.png", "A 55811-2020")</f>
        <v/>
      </c>
      <c r="V241">
        <f>HYPERLINK("https://klasma.github.io/Logging_2482/klagomål/A 55811-2020 FSC-klagomål.docx", "A 55811-2020")</f>
        <v/>
      </c>
      <c r="W241">
        <f>HYPERLINK("https://klasma.github.io/Logging_2482/klagomålsmail/A 55811-2020 FSC-klagomål mail.docx", "A 55811-2020")</f>
        <v/>
      </c>
      <c r="X241">
        <f>HYPERLINK("https://klasma.github.io/Logging_2482/tillsyn/A 55811-2020 tillsynsbegäran.docx", "A 55811-2020")</f>
        <v/>
      </c>
      <c r="Y241">
        <f>HYPERLINK("https://klasma.github.io/Logging_2482/tillsynsmail/A 55811-2020 tillsynsbegäran mail.docx", "A 55811-2020")</f>
        <v/>
      </c>
    </row>
    <row r="242" ht="15" customHeight="1">
      <c r="A242" t="inlineStr">
        <is>
          <t>A 10934-2021</t>
        </is>
      </c>
      <c r="B242" s="1" t="n">
        <v>44259</v>
      </c>
      <c r="C242" s="1" t="n">
        <v>45788</v>
      </c>
      <c r="D242" t="inlineStr">
        <is>
          <t>VÄSTERBOTTENS LÄN</t>
        </is>
      </c>
      <c r="E242" t="inlineStr">
        <is>
          <t>STORUMAN</t>
        </is>
      </c>
      <c r="G242" t="n">
        <v>11.7</v>
      </c>
      <c r="H242" t="n">
        <v>0</v>
      </c>
      <c r="I242" t="n">
        <v>2</v>
      </c>
      <c r="J242" t="n">
        <v>7</v>
      </c>
      <c r="K242" t="n">
        <v>1</v>
      </c>
      <c r="L242" t="n">
        <v>0</v>
      </c>
      <c r="M242" t="n">
        <v>0</v>
      </c>
      <c r="N242" t="n">
        <v>0</v>
      </c>
      <c r="O242" t="n">
        <v>8</v>
      </c>
      <c r="P242" t="n">
        <v>1</v>
      </c>
      <c r="Q242" t="n">
        <v>10</v>
      </c>
      <c r="R242" s="2" t="inlineStr">
        <is>
          <t>Fläckporing
Blanksvart spiklav
Blågrå svartspik
Dvärgbägarlav
Mörk kolflarnlav
Nordtagging
Vedflamlav
Vedskivlav
Dropptaggsvamp
Skinnlav</t>
        </is>
      </c>
      <c r="S242">
        <f>HYPERLINK("https://klasma.github.io/Logging_2421/artfynd/A 10934-2021 artfynd.xlsx", "A 10934-2021")</f>
        <v/>
      </c>
      <c r="T242">
        <f>HYPERLINK("https://klasma.github.io/Logging_2421/kartor/A 10934-2021 karta.png", "A 10934-2021")</f>
        <v/>
      </c>
      <c r="V242">
        <f>HYPERLINK("https://klasma.github.io/Logging_2421/klagomål/A 10934-2021 FSC-klagomål.docx", "A 10934-2021")</f>
        <v/>
      </c>
      <c r="W242">
        <f>HYPERLINK("https://klasma.github.io/Logging_2421/klagomålsmail/A 10934-2021 FSC-klagomål mail.docx", "A 10934-2021")</f>
        <v/>
      </c>
      <c r="X242">
        <f>HYPERLINK("https://klasma.github.io/Logging_2421/tillsyn/A 10934-2021 tillsynsbegäran.docx", "A 10934-2021")</f>
        <v/>
      </c>
      <c r="Y242">
        <f>HYPERLINK("https://klasma.github.io/Logging_2421/tillsynsmail/A 10934-2021 tillsynsbegäran mail.docx", "A 10934-2021")</f>
        <v/>
      </c>
    </row>
    <row r="243" ht="15" customHeight="1">
      <c r="A243" t="inlineStr">
        <is>
          <t>A 15110-2021</t>
        </is>
      </c>
      <c r="B243" s="1" t="n">
        <v>44281</v>
      </c>
      <c r="C243" s="1" t="n">
        <v>45788</v>
      </c>
      <c r="D243" t="inlineStr">
        <is>
          <t>VÄSTERBOTTENS LÄN</t>
        </is>
      </c>
      <c r="E243" t="inlineStr">
        <is>
          <t>SKELLEFTEÅ</t>
        </is>
      </c>
      <c r="F243" t="inlineStr">
        <is>
          <t>SCA</t>
        </is>
      </c>
      <c r="G243" t="n">
        <v>2.7</v>
      </c>
      <c r="H243" t="n">
        <v>1</v>
      </c>
      <c r="I243" t="n">
        <v>3</v>
      </c>
      <c r="J243" t="n">
        <v>5</v>
      </c>
      <c r="K243" t="n">
        <v>1</v>
      </c>
      <c r="L243" t="n">
        <v>0</v>
      </c>
      <c r="M243" t="n">
        <v>0</v>
      </c>
      <c r="N243" t="n">
        <v>0</v>
      </c>
      <c r="O243" t="n">
        <v>6</v>
      </c>
      <c r="P243" t="n">
        <v>1</v>
      </c>
      <c r="Q243" t="n">
        <v>10</v>
      </c>
      <c r="R243" s="2" t="inlineStr">
        <is>
          <t>Rotfingersvamp
Gammelgransskål
Lunglav
Nordtagging
Orange taggsvamp
Svart taggsvamp
Bårdlav
Dropptaggsvamp
Stuplav
Nattviol</t>
        </is>
      </c>
      <c r="S243">
        <f>HYPERLINK("https://klasma.github.io/Logging_2482/artfynd/A 15110-2021 artfynd.xlsx", "A 15110-2021")</f>
        <v/>
      </c>
      <c r="T243">
        <f>HYPERLINK("https://klasma.github.io/Logging_2482/kartor/A 15110-2021 karta.png", "A 15110-2021")</f>
        <v/>
      </c>
      <c r="V243">
        <f>HYPERLINK("https://klasma.github.io/Logging_2482/klagomål/A 15110-2021 FSC-klagomål.docx", "A 15110-2021")</f>
        <v/>
      </c>
      <c r="W243">
        <f>HYPERLINK("https://klasma.github.io/Logging_2482/klagomålsmail/A 15110-2021 FSC-klagomål mail.docx", "A 15110-2021")</f>
        <v/>
      </c>
      <c r="X243">
        <f>HYPERLINK("https://klasma.github.io/Logging_2482/tillsyn/A 15110-2021 tillsynsbegäran.docx", "A 15110-2021")</f>
        <v/>
      </c>
      <c r="Y243">
        <f>HYPERLINK("https://klasma.github.io/Logging_2482/tillsynsmail/A 15110-2021 tillsynsbegäran mail.docx", "A 15110-2021")</f>
        <v/>
      </c>
    </row>
    <row r="244" ht="15" customHeight="1">
      <c r="A244" t="inlineStr">
        <is>
          <t>A 31173-2021</t>
        </is>
      </c>
      <c r="B244" s="1" t="n">
        <v>44368</v>
      </c>
      <c r="C244" s="1" t="n">
        <v>45788</v>
      </c>
      <c r="D244" t="inlineStr">
        <is>
          <t>VÄSTERBOTTENS LÄN</t>
        </is>
      </c>
      <c r="E244" t="inlineStr">
        <is>
          <t>SKELLEFTEÅ</t>
        </is>
      </c>
      <c r="G244" t="n">
        <v>41.4</v>
      </c>
      <c r="H244" t="n">
        <v>1</v>
      </c>
      <c r="I244" t="n">
        <v>1</v>
      </c>
      <c r="J244" t="n">
        <v>8</v>
      </c>
      <c r="K244" t="n">
        <v>1</v>
      </c>
      <c r="L244" t="n">
        <v>0</v>
      </c>
      <c r="M244" t="n">
        <v>0</v>
      </c>
      <c r="N244" t="n">
        <v>0</v>
      </c>
      <c r="O244" t="n">
        <v>9</v>
      </c>
      <c r="P244" t="n">
        <v>1</v>
      </c>
      <c r="Q244" t="n">
        <v>10</v>
      </c>
      <c r="R244" s="2" t="inlineStr">
        <is>
          <t>Ulltickeporing
Gammelgransskål
Granticka
Gränsticka
Harticka
Rosenticka
Stjärntagging
Tretåig hackspett
Ullticka
Stuplav</t>
        </is>
      </c>
      <c r="S244">
        <f>HYPERLINK("https://klasma.github.io/Logging_2482/artfynd/A 31173-2021 artfynd.xlsx", "A 31173-2021")</f>
        <v/>
      </c>
      <c r="T244">
        <f>HYPERLINK("https://klasma.github.io/Logging_2482/kartor/A 31173-2021 karta.png", "A 31173-2021")</f>
        <v/>
      </c>
      <c r="V244">
        <f>HYPERLINK("https://klasma.github.io/Logging_2482/klagomål/A 31173-2021 FSC-klagomål.docx", "A 31173-2021")</f>
        <v/>
      </c>
      <c r="W244">
        <f>HYPERLINK("https://klasma.github.io/Logging_2482/klagomålsmail/A 31173-2021 FSC-klagomål mail.docx", "A 31173-2021")</f>
        <v/>
      </c>
      <c r="X244">
        <f>HYPERLINK("https://klasma.github.io/Logging_2482/tillsyn/A 31173-2021 tillsynsbegäran.docx", "A 31173-2021")</f>
        <v/>
      </c>
      <c r="Y244">
        <f>HYPERLINK("https://klasma.github.io/Logging_2482/tillsynsmail/A 31173-2021 tillsynsbegäran mail.docx", "A 31173-2021")</f>
        <v/>
      </c>
      <c r="Z244">
        <f>HYPERLINK("https://klasma.github.io/Logging_2482/fåglar/A 31173-2021 prioriterade fågelarter.docx", "A 31173-2021")</f>
        <v/>
      </c>
    </row>
    <row r="245" ht="15" customHeight="1">
      <c r="A245" t="inlineStr">
        <is>
          <t>A 42391-2021</t>
        </is>
      </c>
      <c r="B245" s="1" t="n">
        <v>44427</v>
      </c>
      <c r="C245" s="1" t="n">
        <v>45788</v>
      </c>
      <c r="D245" t="inlineStr">
        <is>
          <t>VÄSTERBOTTENS LÄN</t>
        </is>
      </c>
      <c r="E245" t="inlineStr">
        <is>
          <t>UMEÅ</t>
        </is>
      </c>
      <c r="F245" t="inlineStr">
        <is>
          <t>Kommuner</t>
        </is>
      </c>
      <c r="G245" t="n">
        <v>12</v>
      </c>
      <c r="H245" t="n">
        <v>2</v>
      </c>
      <c r="I245" t="n">
        <v>2</v>
      </c>
      <c r="J245" t="n">
        <v>6</v>
      </c>
      <c r="K245" t="n">
        <v>2</v>
      </c>
      <c r="L245" t="n">
        <v>0</v>
      </c>
      <c r="M245" t="n">
        <v>0</v>
      </c>
      <c r="N245" t="n">
        <v>0</v>
      </c>
      <c r="O245" t="n">
        <v>8</v>
      </c>
      <c r="P245" t="n">
        <v>2</v>
      </c>
      <c r="Q245" t="n">
        <v>10</v>
      </c>
      <c r="R245" s="2" t="inlineStr">
        <is>
          <t>Tallbit
Ulltickeporing
Granticka
Motaggsvamp
Svartvit taggsvamp
Talltita
Ullticka
Violettgrå tagellav
Dropptaggsvamp
Mörk husmossa</t>
        </is>
      </c>
      <c r="S245">
        <f>HYPERLINK("https://klasma.github.io/Logging_2480/artfynd/A 42391-2021 artfynd.xlsx", "A 42391-2021")</f>
        <v/>
      </c>
      <c r="T245">
        <f>HYPERLINK("https://klasma.github.io/Logging_2480/kartor/A 42391-2021 karta.png", "A 42391-2021")</f>
        <v/>
      </c>
      <c r="V245">
        <f>HYPERLINK("https://klasma.github.io/Logging_2480/klagomål/A 42391-2021 FSC-klagomål.docx", "A 42391-2021")</f>
        <v/>
      </c>
      <c r="W245">
        <f>HYPERLINK("https://klasma.github.io/Logging_2480/klagomålsmail/A 42391-2021 FSC-klagomål mail.docx", "A 42391-2021")</f>
        <v/>
      </c>
      <c r="X245">
        <f>HYPERLINK("https://klasma.github.io/Logging_2480/tillsyn/A 42391-2021 tillsynsbegäran.docx", "A 42391-2021")</f>
        <v/>
      </c>
      <c r="Y245">
        <f>HYPERLINK("https://klasma.github.io/Logging_2480/tillsynsmail/A 42391-2021 tillsynsbegäran mail.docx", "A 42391-2021")</f>
        <v/>
      </c>
      <c r="Z245">
        <f>HYPERLINK("https://klasma.github.io/Logging_2480/fåglar/A 42391-2021 prioriterade fågelarter.docx", "A 42391-2021")</f>
        <v/>
      </c>
    </row>
    <row r="246" ht="15" customHeight="1">
      <c r="A246" t="inlineStr">
        <is>
          <t>A 43261-2021</t>
        </is>
      </c>
      <c r="B246" s="1" t="n">
        <v>44432</v>
      </c>
      <c r="C246" s="1" t="n">
        <v>45788</v>
      </c>
      <c r="D246" t="inlineStr">
        <is>
          <t>VÄSTERBOTTENS LÄN</t>
        </is>
      </c>
      <c r="E246" t="inlineStr">
        <is>
          <t>VINDELN</t>
        </is>
      </c>
      <c r="F246" t="inlineStr">
        <is>
          <t>Sveaskog</t>
        </is>
      </c>
      <c r="G246" t="n">
        <v>10.3</v>
      </c>
      <c r="H246" t="n">
        <v>3</v>
      </c>
      <c r="I246" t="n">
        <v>1</v>
      </c>
      <c r="J246" t="n">
        <v>7</v>
      </c>
      <c r="K246" t="n">
        <v>0</v>
      </c>
      <c r="L246" t="n">
        <v>0</v>
      </c>
      <c r="M246" t="n">
        <v>0</v>
      </c>
      <c r="N246" t="n">
        <v>0</v>
      </c>
      <c r="O246" t="n">
        <v>7</v>
      </c>
      <c r="P246" t="n">
        <v>0</v>
      </c>
      <c r="Q246" t="n">
        <v>10</v>
      </c>
      <c r="R246" s="2" t="inlineStr">
        <is>
          <t>Gammelgransskål
Garnlav
Granticka
Kolflarnlav
Tretåig hackspett
Vedskivlav
Violettgrå tagellav
Bronshjon
Gråspett
Lavskrika</t>
        </is>
      </c>
      <c r="S246">
        <f>HYPERLINK("https://klasma.github.io/Logging_2404/artfynd/A 43261-2021 artfynd.xlsx", "A 43261-2021")</f>
        <v/>
      </c>
      <c r="T246">
        <f>HYPERLINK("https://klasma.github.io/Logging_2404/kartor/A 43261-2021 karta.png", "A 43261-2021")</f>
        <v/>
      </c>
      <c r="V246">
        <f>HYPERLINK("https://klasma.github.io/Logging_2404/klagomål/A 43261-2021 FSC-klagomål.docx", "A 43261-2021")</f>
        <v/>
      </c>
      <c r="W246">
        <f>HYPERLINK("https://klasma.github.io/Logging_2404/klagomålsmail/A 43261-2021 FSC-klagomål mail.docx", "A 43261-2021")</f>
        <v/>
      </c>
      <c r="X246">
        <f>HYPERLINK("https://klasma.github.io/Logging_2404/tillsyn/A 43261-2021 tillsynsbegäran.docx", "A 43261-2021")</f>
        <v/>
      </c>
      <c r="Y246">
        <f>HYPERLINK("https://klasma.github.io/Logging_2404/tillsynsmail/A 43261-2021 tillsynsbegäran mail.docx", "A 43261-2021")</f>
        <v/>
      </c>
      <c r="Z246">
        <f>HYPERLINK("https://klasma.github.io/Logging_2404/fåglar/A 43261-2021 prioriterade fågelarter.docx", "A 43261-2021")</f>
        <v/>
      </c>
    </row>
    <row r="247" ht="15" customHeight="1">
      <c r="A247" t="inlineStr">
        <is>
          <t>A 69626-2021</t>
        </is>
      </c>
      <c r="B247" s="1" t="n">
        <v>44532</v>
      </c>
      <c r="C247" s="1" t="n">
        <v>45788</v>
      </c>
      <c r="D247" t="inlineStr">
        <is>
          <t>VÄSTERBOTTENS LÄN</t>
        </is>
      </c>
      <c r="E247" t="inlineStr">
        <is>
          <t>VINDELN</t>
        </is>
      </c>
      <c r="F247" t="inlineStr">
        <is>
          <t>Sveaskog</t>
        </is>
      </c>
      <c r="G247" t="n">
        <v>4.6</v>
      </c>
      <c r="H247" t="n">
        <v>2</v>
      </c>
      <c r="I247" t="n">
        <v>0</v>
      </c>
      <c r="J247" t="n">
        <v>9</v>
      </c>
      <c r="K247" t="n">
        <v>1</v>
      </c>
      <c r="L247" t="n">
        <v>0</v>
      </c>
      <c r="M247" t="n">
        <v>0</v>
      </c>
      <c r="N247" t="n">
        <v>0</v>
      </c>
      <c r="O247" t="n">
        <v>10</v>
      </c>
      <c r="P247" t="n">
        <v>1</v>
      </c>
      <c r="Q247" t="n">
        <v>10</v>
      </c>
      <c r="R247" s="2" t="inlineStr">
        <is>
          <t>Rynkskinn
Gammelgransskål
Garnlav
Granticka
Gränsticka
Harticka
Järpe
Rosenticka
Tretåig hackspett
Ullticka</t>
        </is>
      </c>
      <c r="S247">
        <f>HYPERLINK("https://klasma.github.io/Logging_2404/artfynd/A 69626-2021 artfynd.xlsx", "A 69626-2021")</f>
        <v/>
      </c>
      <c r="T247">
        <f>HYPERLINK("https://klasma.github.io/Logging_2404/kartor/A 69626-2021 karta.png", "A 69626-2021")</f>
        <v/>
      </c>
      <c r="V247">
        <f>HYPERLINK("https://klasma.github.io/Logging_2404/klagomål/A 69626-2021 FSC-klagomål.docx", "A 69626-2021")</f>
        <v/>
      </c>
      <c r="W247">
        <f>HYPERLINK("https://klasma.github.io/Logging_2404/klagomålsmail/A 69626-2021 FSC-klagomål mail.docx", "A 69626-2021")</f>
        <v/>
      </c>
      <c r="X247">
        <f>HYPERLINK("https://klasma.github.io/Logging_2404/tillsyn/A 69626-2021 tillsynsbegäran.docx", "A 69626-2021")</f>
        <v/>
      </c>
      <c r="Y247">
        <f>HYPERLINK("https://klasma.github.io/Logging_2404/tillsynsmail/A 69626-2021 tillsynsbegäran mail.docx", "A 69626-2021")</f>
        <v/>
      </c>
      <c r="Z247">
        <f>HYPERLINK("https://klasma.github.io/Logging_2404/fåglar/A 69626-2021 prioriterade fågelarter.docx", "A 69626-2021")</f>
        <v/>
      </c>
    </row>
    <row r="248" ht="15" customHeight="1">
      <c r="A248" t="inlineStr">
        <is>
          <t>A 72173-2021</t>
        </is>
      </c>
      <c r="B248" s="1" t="n">
        <v>44543</v>
      </c>
      <c r="C248" s="1" t="n">
        <v>45788</v>
      </c>
      <c r="D248" t="inlineStr">
        <is>
          <t>VÄSTERBOTTENS LÄN</t>
        </is>
      </c>
      <c r="E248" t="inlineStr">
        <is>
          <t>STORUMAN</t>
        </is>
      </c>
      <c r="G248" t="n">
        <v>23</v>
      </c>
      <c r="H248" t="n">
        <v>2</v>
      </c>
      <c r="I248" t="n">
        <v>4</v>
      </c>
      <c r="J248" t="n">
        <v>5</v>
      </c>
      <c r="K248" t="n">
        <v>0</v>
      </c>
      <c r="L248" t="n">
        <v>0</v>
      </c>
      <c r="M248" t="n">
        <v>0</v>
      </c>
      <c r="N248" t="n">
        <v>0</v>
      </c>
      <c r="O248" t="n">
        <v>5</v>
      </c>
      <c r="P248" t="n">
        <v>0</v>
      </c>
      <c r="Q248" t="n">
        <v>10</v>
      </c>
      <c r="R248" s="2" t="inlineStr">
        <is>
          <t>Garnlav
Granticka
Harticka
Skrovellav
Ullticka
Blodticka
Gräsull
Spindelblomster
Stuplav
Brudsporre</t>
        </is>
      </c>
      <c r="S248">
        <f>HYPERLINK("https://klasma.github.io/Logging_2421/artfynd/A 72173-2021 artfynd.xlsx", "A 72173-2021")</f>
        <v/>
      </c>
      <c r="T248">
        <f>HYPERLINK("https://klasma.github.io/Logging_2421/kartor/A 72173-2021 karta.png", "A 72173-2021")</f>
        <v/>
      </c>
      <c r="V248">
        <f>HYPERLINK("https://klasma.github.io/Logging_2421/klagomål/A 72173-2021 FSC-klagomål.docx", "A 72173-2021")</f>
        <v/>
      </c>
      <c r="W248">
        <f>HYPERLINK("https://klasma.github.io/Logging_2421/klagomålsmail/A 72173-2021 FSC-klagomål mail.docx", "A 72173-2021")</f>
        <v/>
      </c>
      <c r="X248">
        <f>HYPERLINK("https://klasma.github.io/Logging_2421/tillsyn/A 72173-2021 tillsynsbegäran.docx", "A 72173-2021")</f>
        <v/>
      </c>
      <c r="Y248">
        <f>HYPERLINK("https://klasma.github.io/Logging_2421/tillsynsmail/A 72173-2021 tillsynsbegäran mail.docx", "A 72173-2021")</f>
        <v/>
      </c>
    </row>
    <row r="249" ht="15" customHeight="1">
      <c r="A249" t="inlineStr">
        <is>
          <t>A 3370-2022</t>
        </is>
      </c>
      <c r="B249" s="1" t="n">
        <v>44585</v>
      </c>
      <c r="C249" s="1" t="n">
        <v>45788</v>
      </c>
      <c r="D249" t="inlineStr">
        <is>
          <t>VÄSTERBOTTENS LÄN</t>
        </is>
      </c>
      <c r="E249" t="inlineStr">
        <is>
          <t>STORUMAN</t>
        </is>
      </c>
      <c r="G249" t="n">
        <v>1.7</v>
      </c>
      <c r="H249" t="n">
        <v>4</v>
      </c>
      <c r="I249" t="n">
        <v>2</v>
      </c>
      <c r="J249" t="n">
        <v>7</v>
      </c>
      <c r="K249" t="n">
        <v>0</v>
      </c>
      <c r="L249" t="n">
        <v>0</v>
      </c>
      <c r="M249" t="n">
        <v>0</v>
      </c>
      <c r="N249" t="n">
        <v>0</v>
      </c>
      <c r="O249" t="n">
        <v>7</v>
      </c>
      <c r="P249" t="n">
        <v>0</v>
      </c>
      <c r="Q249" t="n">
        <v>10</v>
      </c>
      <c r="R249" s="2" t="inlineStr">
        <is>
          <t>Garnlav
Granticka
Rödbrun blekspik
Skrovellav
Spillkråka
Talltita
Vitgrynig nållav
Spindelblomster
Stuplav
Revlummer</t>
        </is>
      </c>
      <c r="S249">
        <f>HYPERLINK("https://klasma.github.io/Logging_2421/artfynd/A 3370-2022 artfynd.xlsx", "A 3370-2022")</f>
        <v/>
      </c>
      <c r="T249">
        <f>HYPERLINK("https://klasma.github.io/Logging_2421/kartor/A 3370-2022 karta.png", "A 3370-2022")</f>
        <v/>
      </c>
      <c r="V249">
        <f>HYPERLINK("https://klasma.github.io/Logging_2421/klagomål/A 3370-2022 FSC-klagomål.docx", "A 3370-2022")</f>
        <v/>
      </c>
      <c r="W249">
        <f>HYPERLINK("https://klasma.github.io/Logging_2421/klagomålsmail/A 3370-2022 FSC-klagomål mail.docx", "A 3370-2022")</f>
        <v/>
      </c>
      <c r="X249">
        <f>HYPERLINK("https://klasma.github.io/Logging_2421/tillsyn/A 3370-2022 tillsynsbegäran.docx", "A 3370-2022")</f>
        <v/>
      </c>
      <c r="Y249">
        <f>HYPERLINK("https://klasma.github.io/Logging_2421/tillsynsmail/A 3370-2022 tillsynsbegäran mail.docx", "A 3370-2022")</f>
        <v/>
      </c>
      <c r="Z249">
        <f>HYPERLINK("https://klasma.github.io/Logging_2421/fåglar/A 3370-2022 prioriterade fågelarter.docx", "A 3370-2022")</f>
        <v/>
      </c>
    </row>
    <row r="250" ht="15" customHeight="1">
      <c r="A250" t="inlineStr">
        <is>
          <t>A 13605-2022</t>
        </is>
      </c>
      <c r="B250" s="1" t="n">
        <v>44648</v>
      </c>
      <c r="C250" s="1" t="n">
        <v>45788</v>
      </c>
      <c r="D250" t="inlineStr">
        <is>
          <t>VÄSTERBOTTENS LÄN</t>
        </is>
      </c>
      <c r="E250" t="inlineStr">
        <is>
          <t>BJURHOLM</t>
        </is>
      </c>
      <c r="G250" t="n">
        <v>7</v>
      </c>
      <c r="H250" t="n">
        <v>3</v>
      </c>
      <c r="I250" t="n">
        <v>3</v>
      </c>
      <c r="J250" t="n">
        <v>6</v>
      </c>
      <c r="K250" t="n">
        <v>1</v>
      </c>
      <c r="L250" t="n">
        <v>0</v>
      </c>
      <c r="M250" t="n">
        <v>0</v>
      </c>
      <c r="N250" t="n">
        <v>0</v>
      </c>
      <c r="O250" t="n">
        <v>7</v>
      </c>
      <c r="P250" t="n">
        <v>1</v>
      </c>
      <c r="Q250" t="n">
        <v>10</v>
      </c>
      <c r="R250" s="2" t="inlineStr">
        <is>
          <t>Knärot
Garnlav
Granticka
Rödvingetrast
Stiftgelélav
Talltita
Ullticka
Skinnlav
Stor aspticka
Vedticka</t>
        </is>
      </c>
      <c r="S250">
        <f>HYPERLINK("https://klasma.github.io/Logging_2403/artfynd/A 13605-2022 artfynd.xlsx", "A 13605-2022")</f>
        <v/>
      </c>
      <c r="T250">
        <f>HYPERLINK("https://klasma.github.io/Logging_2403/kartor/A 13605-2022 karta.png", "A 13605-2022")</f>
        <v/>
      </c>
      <c r="U250">
        <f>HYPERLINK("https://klasma.github.io/Logging_2403/knärot/A 13605-2022 karta knärot.png", "A 13605-2022")</f>
        <v/>
      </c>
      <c r="V250">
        <f>HYPERLINK("https://klasma.github.io/Logging_2403/klagomål/A 13605-2022 FSC-klagomål.docx", "A 13605-2022")</f>
        <v/>
      </c>
      <c r="W250">
        <f>HYPERLINK("https://klasma.github.io/Logging_2403/klagomålsmail/A 13605-2022 FSC-klagomål mail.docx", "A 13605-2022")</f>
        <v/>
      </c>
      <c r="X250">
        <f>HYPERLINK("https://klasma.github.io/Logging_2403/tillsyn/A 13605-2022 tillsynsbegäran.docx", "A 13605-2022")</f>
        <v/>
      </c>
      <c r="Y250">
        <f>HYPERLINK("https://klasma.github.io/Logging_2403/tillsynsmail/A 13605-2022 tillsynsbegäran mail.docx", "A 13605-2022")</f>
        <v/>
      </c>
      <c r="Z250">
        <f>HYPERLINK("https://klasma.github.io/Logging_2403/fåglar/A 13605-2022 prioriterade fågelarter.docx", "A 13605-2022")</f>
        <v/>
      </c>
    </row>
    <row r="251" ht="15" customHeight="1">
      <c r="A251" t="inlineStr">
        <is>
          <t>A 17204-2022</t>
        </is>
      </c>
      <c r="B251" s="1" t="n">
        <v>44678</v>
      </c>
      <c r="C251" s="1" t="n">
        <v>45788</v>
      </c>
      <c r="D251" t="inlineStr">
        <is>
          <t>VÄSTERBOTTENS LÄN</t>
        </is>
      </c>
      <c r="E251" t="inlineStr">
        <is>
          <t>VILHELMINA</t>
        </is>
      </c>
      <c r="G251" t="n">
        <v>21.5</v>
      </c>
      <c r="H251" t="n">
        <v>1</v>
      </c>
      <c r="I251" t="n">
        <v>1</v>
      </c>
      <c r="J251" t="n">
        <v>9</v>
      </c>
      <c r="K251" t="n">
        <v>0</v>
      </c>
      <c r="L251" t="n">
        <v>0</v>
      </c>
      <c r="M251" t="n">
        <v>0</v>
      </c>
      <c r="N251" t="n">
        <v>0</v>
      </c>
      <c r="O251" t="n">
        <v>9</v>
      </c>
      <c r="P251" t="n">
        <v>0</v>
      </c>
      <c r="Q251" t="n">
        <v>10</v>
      </c>
      <c r="R251" s="2" t="inlineStr">
        <is>
          <t>Gammelgransskål
Garnlav
Granticka
Harticka
Rosenticka
Skrovellav
Tretåig hackspett
Ullticka
Vitgrynig nållav
Luddlav</t>
        </is>
      </c>
      <c r="S251">
        <f>HYPERLINK("https://klasma.github.io/Logging_2462/artfynd/A 17204-2022 artfynd.xlsx", "A 17204-2022")</f>
        <v/>
      </c>
      <c r="T251">
        <f>HYPERLINK("https://klasma.github.io/Logging_2462/kartor/A 17204-2022 karta.png", "A 17204-2022")</f>
        <v/>
      </c>
      <c r="V251">
        <f>HYPERLINK("https://klasma.github.io/Logging_2462/klagomål/A 17204-2022 FSC-klagomål.docx", "A 17204-2022")</f>
        <v/>
      </c>
      <c r="W251">
        <f>HYPERLINK("https://klasma.github.io/Logging_2462/klagomålsmail/A 17204-2022 FSC-klagomål mail.docx", "A 17204-2022")</f>
        <v/>
      </c>
      <c r="X251">
        <f>HYPERLINK("https://klasma.github.io/Logging_2462/tillsyn/A 17204-2022 tillsynsbegäran.docx", "A 17204-2022")</f>
        <v/>
      </c>
      <c r="Y251">
        <f>HYPERLINK("https://klasma.github.io/Logging_2462/tillsynsmail/A 17204-2022 tillsynsbegäran mail.docx", "A 17204-2022")</f>
        <v/>
      </c>
      <c r="Z251">
        <f>HYPERLINK("https://klasma.github.io/Logging_2462/fåglar/A 17204-2022 prioriterade fågelarter.docx", "A 17204-2022")</f>
        <v/>
      </c>
    </row>
    <row r="252" ht="15" customHeight="1">
      <c r="A252" t="inlineStr">
        <is>
          <t>A 33004-2022</t>
        </is>
      </c>
      <c r="B252" s="1" t="n">
        <v>44785</v>
      </c>
      <c r="C252" s="1" t="n">
        <v>45788</v>
      </c>
      <c r="D252" t="inlineStr">
        <is>
          <t>VÄSTERBOTTENS LÄN</t>
        </is>
      </c>
      <c r="E252" t="inlineStr">
        <is>
          <t>UMEÅ</t>
        </is>
      </c>
      <c r="F252" t="inlineStr">
        <is>
          <t>Kommuner</t>
        </is>
      </c>
      <c r="G252" t="n">
        <v>2</v>
      </c>
      <c r="H252" t="n">
        <v>3</v>
      </c>
      <c r="I252" t="n">
        <v>2</v>
      </c>
      <c r="J252" t="n">
        <v>7</v>
      </c>
      <c r="K252" t="n">
        <v>0</v>
      </c>
      <c r="L252" t="n">
        <v>0</v>
      </c>
      <c r="M252" t="n">
        <v>0</v>
      </c>
      <c r="N252" t="n">
        <v>0</v>
      </c>
      <c r="O252" t="n">
        <v>7</v>
      </c>
      <c r="P252" t="n">
        <v>0</v>
      </c>
      <c r="Q252" t="n">
        <v>10</v>
      </c>
      <c r="R252" s="2" t="inlineStr">
        <is>
          <t>Granticka
Harticka
Leptoporus mollis
Spillkråka
Stjärntagging
Talltita
Ullticka
Thomsons trägnagare
Vedticka
Sångsvan</t>
        </is>
      </c>
      <c r="S252">
        <f>HYPERLINK("https://klasma.github.io/Logging_2480/artfynd/A 33004-2022 artfynd.xlsx", "A 33004-2022")</f>
        <v/>
      </c>
      <c r="T252">
        <f>HYPERLINK("https://klasma.github.io/Logging_2480/kartor/A 33004-2022 karta.png", "A 33004-2022")</f>
        <v/>
      </c>
      <c r="V252">
        <f>HYPERLINK("https://klasma.github.io/Logging_2480/klagomål/A 33004-2022 FSC-klagomål.docx", "A 33004-2022")</f>
        <v/>
      </c>
      <c r="W252">
        <f>HYPERLINK("https://klasma.github.io/Logging_2480/klagomålsmail/A 33004-2022 FSC-klagomål mail.docx", "A 33004-2022")</f>
        <v/>
      </c>
      <c r="X252">
        <f>HYPERLINK("https://klasma.github.io/Logging_2480/tillsyn/A 33004-2022 tillsynsbegäran.docx", "A 33004-2022")</f>
        <v/>
      </c>
      <c r="Y252">
        <f>HYPERLINK("https://klasma.github.io/Logging_2480/tillsynsmail/A 33004-2022 tillsynsbegäran mail.docx", "A 33004-2022")</f>
        <v/>
      </c>
      <c r="Z252">
        <f>HYPERLINK("https://klasma.github.io/Logging_2480/fåglar/A 33004-2022 prioriterade fågelarter.docx", "A 33004-2022")</f>
        <v/>
      </c>
    </row>
    <row r="253" ht="15" customHeight="1">
      <c r="A253" t="inlineStr">
        <is>
          <t>A 2274-2023</t>
        </is>
      </c>
      <c r="B253" s="1" t="n">
        <v>44942</v>
      </c>
      <c r="C253" s="1" t="n">
        <v>45788</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2274-2023 artfynd.xlsx", "A 2274-2023")</f>
        <v/>
      </c>
      <c r="T253">
        <f>HYPERLINK("https://klasma.github.io/Logging_2482/kartor/A 2274-2023 karta.png", "A 2274-2023")</f>
        <v/>
      </c>
      <c r="U253">
        <f>HYPERLINK("https://klasma.github.io/Logging_2482/knärot/A 2274-2023 karta knärot.png", "A 2274-2023")</f>
        <v/>
      </c>
      <c r="V253">
        <f>HYPERLINK("https://klasma.github.io/Logging_2482/klagomål/A 2274-2023 FSC-klagomål.docx", "A 2274-2023")</f>
        <v/>
      </c>
      <c r="W253">
        <f>HYPERLINK("https://klasma.github.io/Logging_2482/klagomålsmail/A 2274-2023 FSC-klagomål mail.docx", "A 2274-2023")</f>
        <v/>
      </c>
      <c r="X253">
        <f>HYPERLINK("https://klasma.github.io/Logging_2482/tillsyn/A 2274-2023 tillsynsbegäran.docx", "A 2274-2023")</f>
        <v/>
      </c>
      <c r="Y253">
        <f>HYPERLINK("https://klasma.github.io/Logging_2482/tillsynsmail/A 2274-2023 tillsynsbegäran mail.docx", "A 2274-2023")</f>
        <v/>
      </c>
    </row>
    <row r="254" ht="15" customHeight="1">
      <c r="A254" t="inlineStr">
        <is>
          <t>A 2768-2023</t>
        </is>
      </c>
      <c r="B254" s="1" t="n">
        <v>44944</v>
      </c>
      <c r="C254" s="1" t="n">
        <v>45788</v>
      </c>
      <c r="D254" t="inlineStr">
        <is>
          <t>VÄSTERBOTTENS LÄN</t>
        </is>
      </c>
      <c r="E254" t="inlineStr">
        <is>
          <t>LYCKSELE</t>
        </is>
      </c>
      <c r="F254" t="inlineStr">
        <is>
          <t>Kyrkan</t>
        </is>
      </c>
      <c r="G254" t="n">
        <v>13.2</v>
      </c>
      <c r="H254" t="n">
        <v>1</v>
      </c>
      <c r="I254" t="n">
        <v>2</v>
      </c>
      <c r="J254" t="n">
        <v>8</v>
      </c>
      <c r="K254" t="n">
        <v>0</v>
      </c>
      <c r="L254" t="n">
        <v>0</v>
      </c>
      <c r="M254" t="n">
        <v>0</v>
      </c>
      <c r="N254" t="n">
        <v>0</v>
      </c>
      <c r="O254" t="n">
        <v>8</v>
      </c>
      <c r="P254" t="n">
        <v>0</v>
      </c>
      <c r="Q254" t="n">
        <v>10</v>
      </c>
      <c r="R254" s="2" t="inlineStr">
        <is>
          <t>Garnlav
Lunglav
Orange taggsvamp
Skrovlig taggsvamp
Spillkråka
Svart taggsvamp
Svartvit taggsvamp
Tallriska
Dropptaggsvamp
Luddlav</t>
        </is>
      </c>
      <c r="S254">
        <f>HYPERLINK("https://klasma.github.io/Logging_2481/artfynd/A 2768-2023 artfynd.xlsx", "A 2768-2023")</f>
        <v/>
      </c>
      <c r="T254">
        <f>HYPERLINK("https://klasma.github.io/Logging_2481/kartor/A 2768-2023 karta.png", "A 2768-2023")</f>
        <v/>
      </c>
      <c r="V254">
        <f>HYPERLINK("https://klasma.github.io/Logging_2481/klagomål/A 2768-2023 FSC-klagomål.docx", "A 2768-2023")</f>
        <v/>
      </c>
      <c r="W254">
        <f>HYPERLINK("https://klasma.github.io/Logging_2481/klagomålsmail/A 2768-2023 FSC-klagomål mail.docx", "A 2768-2023")</f>
        <v/>
      </c>
      <c r="X254">
        <f>HYPERLINK("https://klasma.github.io/Logging_2481/tillsyn/A 2768-2023 tillsynsbegäran.docx", "A 2768-2023")</f>
        <v/>
      </c>
      <c r="Y254">
        <f>HYPERLINK("https://klasma.github.io/Logging_2481/tillsynsmail/A 2768-2023 tillsynsbegäran mail.docx", "A 2768-2023")</f>
        <v/>
      </c>
      <c r="Z254">
        <f>HYPERLINK("https://klasma.github.io/Logging_2481/fåglar/A 2768-2023 prioriterade fågelarter.docx", "A 2768-2023")</f>
        <v/>
      </c>
    </row>
    <row r="255" ht="15" customHeight="1">
      <c r="A255" t="inlineStr">
        <is>
          <t>A 5701-2023</t>
        </is>
      </c>
      <c r="B255" s="1" t="n">
        <v>44960</v>
      </c>
      <c r="C255" s="1" t="n">
        <v>45788</v>
      </c>
      <c r="D255" t="inlineStr">
        <is>
          <t>VÄSTERBOTTENS LÄN</t>
        </is>
      </c>
      <c r="E255" t="inlineStr">
        <is>
          <t>ÅSELE</t>
        </is>
      </c>
      <c r="F255" t="inlineStr">
        <is>
          <t>SCA</t>
        </is>
      </c>
      <c r="G255" t="n">
        <v>7.1</v>
      </c>
      <c r="H255" t="n">
        <v>1</v>
      </c>
      <c r="I255" t="n">
        <v>1</v>
      </c>
      <c r="J255" t="n">
        <v>8</v>
      </c>
      <c r="K255" t="n">
        <v>1</v>
      </c>
      <c r="L255" t="n">
        <v>0</v>
      </c>
      <c r="M255" t="n">
        <v>0</v>
      </c>
      <c r="N255" t="n">
        <v>0</v>
      </c>
      <c r="O255" t="n">
        <v>9</v>
      </c>
      <c r="P255" t="n">
        <v>1</v>
      </c>
      <c r="Q255" t="n">
        <v>10</v>
      </c>
      <c r="R255" s="2" t="inlineStr">
        <is>
          <t>Rynkskinn
Gammelgransskål
Garnlav
Reliktbock
Rosenticka
Skrovellav
Stiftgelélav
Tretåig hackspett
Ullticka
Stuplav</t>
        </is>
      </c>
      <c r="S255">
        <f>HYPERLINK("https://klasma.github.io/Logging_2463/artfynd/A 5701-2023 artfynd.xlsx", "A 5701-2023")</f>
        <v/>
      </c>
      <c r="T255">
        <f>HYPERLINK("https://klasma.github.io/Logging_2463/kartor/A 5701-2023 karta.png", "A 5701-2023")</f>
        <v/>
      </c>
      <c r="V255">
        <f>HYPERLINK("https://klasma.github.io/Logging_2463/klagomål/A 5701-2023 FSC-klagomål.docx", "A 5701-2023")</f>
        <v/>
      </c>
      <c r="W255">
        <f>HYPERLINK("https://klasma.github.io/Logging_2463/klagomålsmail/A 5701-2023 FSC-klagomål mail.docx", "A 5701-2023")</f>
        <v/>
      </c>
      <c r="X255">
        <f>HYPERLINK("https://klasma.github.io/Logging_2463/tillsyn/A 5701-2023 tillsynsbegäran.docx", "A 5701-2023")</f>
        <v/>
      </c>
      <c r="Y255">
        <f>HYPERLINK("https://klasma.github.io/Logging_2463/tillsynsmail/A 5701-2023 tillsynsbegäran mail.docx", "A 5701-2023")</f>
        <v/>
      </c>
      <c r="Z255">
        <f>HYPERLINK("https://klasma.github.io/Logging_2463/fåglar/A 5701-2023 prioriterade fågelarter.docx", "A 5701-2023")</f>
        <v/>
      </c>
    </row>
    <row r="256" ht="15" customHeight="1">
      <c r="A256" t="inlineStr">
        <is>
          <t>A 6963-2023</t>
        </is>
      </c>
      <c r="B256" s="1" t="n">
        <v>44964</v>
      </c>
      <c r="C256" s="1" t="n">
        <v>45788</v>
      </c>
      <c r="D256" t="inlineStr">
        <is>
          <t>VÄSTERBOTTENS LÄN</t>
        </is>
      </c>
      <c r="E256" t="inlineStr">
        <is>
          <t>VILHELMINA</t>
        </is>
      </c>
      <c r="F256" t="inlineStr">
        <is>
          <t>Allmännings- och besparingsskogar</t>
        </is>
      </c>
      <c r="G256" t="n">
        <v>8</v>
      </c>
      <c r="H256" t="n">
        <v>2</v>
      </c>
      <c r="I256" t="n">
        <v>2</v>
      </c>
      <c r="J256" t="n">
        <v>8</v>
      </c>
      <c r="K256" t="n">
        <v>0</v>
      </c>
      <c r="L256" t="n">
        <v>0</v>
      </c>
      <c r="M256" t="n">
        <v>0</v>
      </c>
      <c r="N256" t="n">
        <v>0</v>
      </c>
      <c r="O256" t="n">
        <v>8</v>
      </c>
      <c r="P256" t="n">
        <v>0</v>
      </c>
      <c r="Q256" t="n">
        <v>10</v>
      </c>
      <c r="R256" s="2" t="inlineStr">
        <is>
          <t>Gammelgransskål
Garnlav
Granticka
Knottrig blåslav
Skrovellav
Tretåig hackspett
Vitgrynig nållav
Vitskaftad svartspik
Mörk husmossa
Spindelblomster</t>
        </is>
      </c>
      <c r="S256">
        <f>HYPERLINK("https://klasma.github.io/Logging_2462/artfynd/A 6963-2023 artfynd.xlsx", "A 6963-2023")</f>
        <v/>
      </c>
      <c r="T256">
        <f>HYPERLINK("https://klasma.github.io/Logging_2462/kartor/A 6963-2023 karta.png", "A 6963-2023")</f>
        <v/>
      </c>
      <c r="V256">
        <f>HYPERLINK("https://klasma.github.io/Logging_2462/klagomål/A 6963-2023 FSC-klagomål.docx", "A 6963-2023")</f>
        <v/>
      </c>
      <c r="W256">
        <f>HYPERLINK("https://klasma.github.io/Logging_2462/klagomålsmail/A 6963-2023 FSC-klagomål mail.docx", "A 6963-2023")</f>
        <v/>
      </c>
      <c r="X256">
        <f>HYPERLINK("https://klasma.github.io/Logging_2462/tillsyn/A 6963-2023 tillsynsbegäran.docx", "A 6963-2023")</f>
        <v/>
      </c>
      <c r="Y256">
        <f>HYPERLINK("https://klasma.github.io/Logging_2462/tillsynsmail/A 6963-2023 tillsynsbegäran mail.docx", "A 6963-2023")</f>
        <v/>
      </c>
      <c r="Z256">
        <f>HYPERLINK("https://klasma.github.io/Logging_2462/fåglar/A 6963-2023 prioriterade fågelarter.docx", "A 6963-2023")</f>
        <v/>
      </c>
    </row>
    <row r="257" ht="15" customHeight="1">
      <c r="A257" t="inlineStr">
        <is>
          <t>A 6969-2023</t>
        </is>
      </c>
      <c r="B257" s="1" t="n">
        <v>44964</v>
      </c>
      <c r="C257" s="1" t="n">
        <v>45788</v>
      </c>
      <c r="D257" t="inlineStr">
        <is>
          <t>VÄSTERBOTTENS LÄN</t>
        </is>
      </c>
      <c r="E257" t="inlineStr">
        <is>
          <t>VILHELMINA</t>
        </is>
      </c>
      <c r="F257" t="inlineStr">
        <is>
          <t>Allmännings- och besparingsskogar</t>
        </is>
      </c>
      <c r="G257" t="n">
        <v>21.8</v>
      </c>
      <c r="H257" t="n">
        <v>0</v>
      </c>
      <c r="I257" t="n">
        <v>3</v>
      </c>
      <c r="J257" t="n">
        <v>7</v>
      </c>
      <c r="K257" t="n">
        <v>0</v>
      </c>
      <c r="L257" t="n">
        <v>0</v>
      </c>
      <c r="M257" t="n">
        <v>0</v>
      </c>
      <c r="N257" t="n">
        <v>0</v>
      </c>
      <c r="O257" t="n">
        <v>7</v>
      </c>
      <c r="P257" t="n">
        <v>0</v>
      </c>
      <c r="Q257" t="n">
        <v>10</v>
      </c>
      <c r="R257" s="2" t="inlineStr">
        <is>
          <t>Brunpudrad nållav
Garnlav
Granticka
Rosenticka
Rödbrun blekspik
Skrovellav
Ullticka
Gulnål
Mörk husmossa
Stuplav</t>
        </is>
      </c>
      <c r="S257">
        <f>HYPERLINK("https://klasma.github.io/Logging_2462/artfynd/A 6969-2023 artfynd.xlsx", "A 6969-2023")</f>
        <v/>
      </c>
      <c r="T257">
        <f>HYPERLINK("https://klasma.github.io/Logging_2462/kartor/A 6969-2023 karta.png", "A 6969-2023")</f>
        <v/>
      </c>
      <c r="V257">
        <f>HYPERLINK("https://klasma.github.io/Logging_2462/klagomål/A 6969-2023 FSC-klagomål.docx", "A 6969-2023")</f>
        <v/>
      </c>
      <c r="W257">
        <f>HYPERLINK("https://klasma.github.io/Logging_2462/klagomålsmail/A 6969-2023 FSC-klagomål mail.docx", "A 6969-2023")</f>
        <v/>
      </c>
      <c r="X257">
        <f>HYPERLINK("https://klasma.github.io/Logging_2462/tillsyn/A 6969-2023 tillsynsbegäran.docx", "A 6969-2023")</f>
        <v/>
      </c>
      <c r="Y257">
        <f>HYPERLINK("https://klasma.github.io/Logging_2462/tillsynsmail/A 6969-2023 tillsynsbegäran mail.docx", "A 6969-2023")</f>
        <v/>
      </c>
    </row>
    <row r="258" ht="15" customHeight="1">
      <c r="A258" t="inlineStr">
        <is>
          <t>A 10862-2023</t>
        </is>
      </c>
      <c r="B258" s="1" t="n">
        <v>44991</v>
      </c>
      <c r="C258" s="1" t="n">
        <v>45788</v>
      </c>
      <c r="D258" t="inlineStr">
        <is>
          <t>VÄSTERBOTTENS LÄN</t>
        </is>
      </c>
      <c r="E258" t="inlineStr">
        <is>
          <t>VINDELN</t>
        </is>
      </c>
      <c r="G258" t="n">
        <v>26</v>
      </c>
      <c r="H258" t="n">
        <v>1</v>
      </c>
      <c r="I258" t="n">
        <v>2</v>
      </c>
      <c r="J258" t="n">
        <v>7</v>
      </c>
      <c r="K258" t="n">
        <v>1</v>
      </c>
      <c r="L258" t="n">
        <v>0</v>
      </c>
      <c r="M258" t="n">
        <v>0</v>
      </c>
      <c r="N258" t="n">
        <v>0</v>
      </c>
      <c r="O258" t="n">
        <v>8</v>
      </c>
      <c r="P258" t="n">
        <v>1</v>
      </c>
      <c r="Q258" t="n">
        <v>10</v>
      </c>
      <c r="R258" s="2" t="inlineStr">
        <is>
          <t>Smalfotad taggsvamp
Gammelgransskål
Järpe
Motaggsvamp
Nordtagging
Skrovlig taggsvamp
Svart taggsvamp
Vaddporing
Dropptaggsvamp
Skarp dropptaggsvamp</t>
        </is>
      </c>
      <c r="S258">
        <f>HYPERLINK("https://klasma.github.io/Logging_2404/artfynd/A 10862-2023 artfynd.xlsx", "A 10862-2023")</f>
        <v/>
      </c>
      <c r="T258">
        <f>HYPERLINK("https://klasma.github.io/Logging_2404/kartor/A 10862-2023 karta.png", "A 10862-2023")</f>
        <v/>
      </c>
      <c r="V258">
        <f>HYPERLINK("https://klasma.github.io/Logging_2404/klagomål/A 10862-2023 FSC-klagomål.docx", "A 10862-2023")</f>
        <v/>
      </c>
      <c r="W258">
        <f>HYPERLINK("https://klasma.github.io/Logging_2404/klagomålsmail/A 10862-2023 FSC-klagomål mail.docx", "A 10862-2023")</f>
        <v/>
      </c>
      <c r="X258">
        <f>HYPERLINK("https://klasma.github.io/Logging_2404/tillsyn/A 10862-2023 tillsynsbegäran.docx", "A 10862-2023")</f>
        <v/>
      </c>
      <c r="Y258">
        <f>HYPERLINK("https://klasma.github.io/Logging_2404/tillsynsmail/A 10862-2023 tillsynsbegäran mail.docx", "A 10862-2023")</f>
        <v/>
      </c>
      <c r="Z258">
        <f>HYPERLINK("https://klasma.github.io/Logging_2404/fåglar/A 10862-2023 prioriterade fågelarter.docx", "A 10862-2023")</f>
        <v/>
      </c>
    </row>
    <row r="259" ht="15" customHeight="1">
      <c r="A259" t="inlineStr">
        <is>
          <t>A 22967-2023</t>
        </is>
      </c>
      <c r="B259" s="1" t="n">
        <v>45070</v>
      </c>
      <c r="C259" s="1" t="n">
        <v>45788</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22967-2023 artfynd.xlsx", "A 22967-2023")</f>
        <v/>
      </c>
      <c r="T259">
        <f>HYPERLINK("https://klasma.github.io/Logging_2482/kartor/A 22967-2023 karta.png", "A 22967-2023")</f>
        <v/>
      </c>
      <c r="U259">
        <f>HYPERLINK("https://klasma.github.io/Logging_2482/knärot/A 22967-2023 karta knärot.png", "A 22967-2023")</f>
        <v/>
      </c>
      <c r="V259">
        <f>HYPERLINK("https://klasma.github.io/Logging_2482/klagomål/A 22967-2023 FSC-klagomål.docx", "A 22967-2023")</f>
        <v/>
      </c>
      <c r="W259">
        <f>HYPERLINK("https://klasma.github.io/Logging_2482/klagomålsmail/A 22967-2023 FSC-klagomål mail.docx", "A 22967-2023")</f>
        <v/>
      </c>
      <c r="X259">
        <f>HYPERLINK("https://klasma.github.io/Logging_2482/tillsyn/A 22967-2023 tillsynsbegäran.docx", "A 22967-2023")</f>
        <v/>
      </c>
      <c r="Y259">
        <f>HYPERLINK("https://klasma.github.io/Logging_2482/tillsynsmail/A 22967-2023 tillsynsbegäran mail.docx", "A 22967-2023")</f>
        <v/>
      </c>
    </row>
    <row r="260" ht="15" customHeight="1">
      <c r="A260" t="inlineStr">
        <is>
          <t>A 37545-2023</t>
        </is>
      </c>
      <c r="B260" s="1" t="n">
        <v>45158</v>
      </c>
      <c r="C260" s="1" t="n">
        <v>45788</v>
      </c>
      <c r="D260" t="inlineStr">
        <is>
          <t>VÄSTERBOTTENS LÄN</t>
        </is>
      </c>
      <c r="E260" t="inlineStr">
        <is>
          <t>NORDMALING</t>
        </is>
      </c>
      <c r="G260" t="n">
        <v>5.1</v>
      </c>
      <c r="H260" t="n">
        <v>0</v>
      </c>
      <c r="I260" t="n">
        <v>1</v>
      </c>
      <c r="J260" t="n">
        <v>6</v>
      </c>
      <c r="K260" t="n">
        <v>3</v>
      </c>
      <c r="L260" t="n">
        <v>0</v>
      </c>
      <c r="M260" t="n">
        <v>0</v>
      </c>
      <c r="N260" t="n">
        <v>0</v>
      </c>
      <c r="O260" t="n">
        <v>9</v>
      </c>
      <c r="P260" t="n">
        <v>3</v>
      </c>
      <c r="Q260" t="n">
        <v>10</v>
      </c>
      <c r="R260" s="2" t="inlineStr">
        <is>
          <t>Fläckporing
Goliatmusseron
Smalfotad taggsvamp
Blå taggsvamp
Dvärgbägarlav
Motaggsvamp
Orange taggsvamp
Svartvit taggsvamp
Vedflamlav
Dropptaggsvamp</t>
        </is>
      </c>
      <c r="S260">
        <f>HYPERLINK("https://klasma.github.io/Logging_2401/artfynd/A 37545-2023 artfynd.xlsx", "A 37545-2023")</f>
        <v/>
      </c>
      <c r="T260">
        <f>HYPERLINK("https://klasma.github.io/Logging_2401/kartor/A 37545-2023 karta.png", "A 37545-2023")</f>
        <v/>
      </c>
      <c r="V260">
        <f>HYPERLINK("https://klasma.github.io/Logging_2401/klagomål/A 37545-2023 FSC-klagomål.docx", "A 37545-2023")</f>
        <v/>
      </c>
      <c r="W260">
        <f>HYPERLINK("https://klasma.github.io/Logging_2401/klagomålsmail/A 37545-2023 FSC-klagomål mail.docx", "A 37545-2023")</f>
        <v/>
      </c>
      <c r="X260">
        <f>HYPERLINK("https://klasma.github.io/Logging_2401/tillsyn/A 37545-2023 tillsynsbegäran.docx", "A 37545-2023")</f>
        <v/>
      </c>
      <c r="Y260">
        <f>HYPERLINK("https://klasma.github.io/Logging_2401/tillsynsmail/A 37545-2023 tillsynsbegäran mail.docx", "A 37545-2023")</f>
        <v/>
      </c>
    </row>
    <row r="261" ht="15" customHeight="1">
      <c r="A261" t="inlineStr">
        <is>
          <t>A 48183-2023</t>
        </is>
      </c>
      <c r="B261" s="1" t="n">
        <v>45201</v>
      </c>
      <c r="C261" s="1" t="n">
        <v>45788</v>
      </c>
      <c r="D261" t="inlineStr">
        <is>
          <t>VÄSTERBOTTENS LÄN</t>
        </is>
      </c>
      <c r="E261" t="inlineStr">
        <is>
          <t>VILHELMINA</t>
        </is>
      </c>
      <c r="F261" t="inlineStr">
        <is>
          <t>Allmännings- och besparingsskogar</t>
        </is>
      </c>
      <c r="G261" t="n">
        <v>17.3</v>
      </c>
      <c r="H261" t="n">
        <v>1</v>
      </c>
      <c r="I261" t="n">
        <v>3</v>
      </c>
      <c r="J261" t="n">
        <v>7</v>
      </c>
      <c r="K261" t="n">
        <v>0</v>
      </c>
      <c r="L261" t="n">
        <v>0</v>
      </c>
      <c r="M261" t="n">
        <v>0</v>
      </c>
      <c r="N261" t="n">
        <v>0</v>
      </c>
      <c r="O261" t="n">
        <v>7</v>
      </c>
      <c r="P261" t="n">
        <v>0</v>
      </c>
      <c r="Q261" t="n">
        <v>10</v>
      </c>
      <c r="R261" s="2" t="inlineStr">
        <is>
          <t>Garnlav
Granticka
Liten svartspik
Lunglav
Skrovellav
Tretåig hackspett
Vitgrynig nållav
Luddlav
Skinnlav
Stuplav</t>
        </is>
      </c>
      <c r="S261">
        <f>HYPERLINK("https://klasma.github.io/Logging_2462/artfynd/A 48183-2023 artfynd.xlsx", "A 48183-2023")</f>
        <v/>
      </c>
      <c r="T261">
        <f>HYPERLINK("https://klasma.github.io/Logging_2462/kartor/A 48183-2023 karta.png", "A 48183-2023")</f>
        <v/>
      </c>
      <c r="V261">
        <f>HYPERLINK("https://klasma.github.io/Logging_2462/klagomål/A 48183-2023 FSC-klagomål.docx", "A 48183-2023")</f>
        <v/>
      </c>
      <c r="W261">
        <f>HYPERLINK("https://klasma.github.io/Logging_2462/klagomålsmail/A 48183-2023 FSC-klagomål mail.docx", "A 48183-2023")</f>
        <v/>
      </c>
      <c r="X261">
        <f>HYPERLINK("https://klasma.github.io/Logging_2462/tillsyn/A 48183-2023 tillsynsbegäran.docx", "A 48183-2023")</f>
        <v/>
      </c>
      <c r="Y261">
        <f>HYPERLINK("https://klasma.github.io/Logging_2462/tillsynsmail/A 48183-2023 tillsynsbegäran mail.docx", "A 48183-2023")</f>
        <v/>
      </c>
      <c r="Z261">
        <f>HYPERLINK("https://klasma.github.io/Logging_2462/fåglar/A 48183-2023 prioriterade fågelarter.docx", "A 48183-2023")</f>
        <v/>
      </c>
    </row>
    <row r="262" ht="15" customHeight="1">
      <c r="A262" t="inlineStr">
        <is>
          <t>A 49174-2023</t>
        </is>
      </c>
      <c r="B262" s="1" t="n">
        <v>45205</v>
      </c>
      <c r="C262" s="1" t="n">
        <v>45788</v>
      </c>
      <c r="D262" t="inlineStr">
        <is>
          <t>VÄSTERBOTTENS LÄN</t>
        </is>
      </c>
      <c r="E262" t="inlineStr">
        <is>
          <t>VILHELMINA</t>
        </is>
      </c>
      <c r="F262" t="inlineStr">
        <is>
          <t>Allmännings- och besparingsskogar</t>
        </is>
      </c>
      <c r="G262" t="n">
        <v>22.5</v>
      </c>
      <c r="H262" t="n">
        <v>2</v>
      </c>
      <c r="I262" t="n">
        <v>1</v>
      </c>
      <c r="J262" t="n">
        <v>7</v>
      </c>
      <c r="K262" t="n">
        <v>1</v>
      </c>
      <c r="L262" t="n">
        <v>0</v>
      </c>
      <c r="M262" t="n">
        <v>0</v>
      </c>
      <c r="N262" t="n">
        <v>0</v>
      </c>
      <c r="O262" t="n">
        <v>8</v>
      </c>
      <c r="P262" t="n">
        <v>1</v>
      </c>
      <c r="Q262" t="n">
        <v>10</v>
      </c>
      <c r="R262" s="2" t="inlineStr">
        <is>
          <t>Ostticka
Gammelgransskål
Garnlav
Harticka
Lunglav
Skrovellav
Tretåig hackspett
Ullticka
Stuplav
Tjäder</t>
        </is>
      </c>
      <c r="S262">
        <f>HYPERLINK("https://klasma.github.io/Logging_2462/artfynd/A 49174-2023 artfynd.xlsx", "A 49174-2023")</f>
        <v/>
      </c>
      <c r="T262">
        <f>HYPERLINK("https://klasma.github.io/Logging_2462/kartor/A 49174-2023 karta.png", "A 49174-2023")</f>
        <v/>
      </c>
      <c r="V262">
        <f>HYPERLINK("https://klasma.github.io/Logging_2462/klagomål/A 49174-2023 FSC-klagomål.docx", "A 49174-2023")</f>
        <v/>
      </c>
      <c r="W262">
        <f>HYPERLINK("https://klasma.github.io/Logging_2462/klagomålsmail/A 49174-2023 FSC-klagomål mail.docx", "A 49174-2023")</f>
        <v/>
      </c>
      <c r="X262">
        <f>HYPERLINK("https://klasma.github.io/Logging_2462/tillsyn/A 49174-2023 tillsynsbegäran.docx", "A 49174-2023")</f>
        <v/>
      </c>
      <c r="Y262">
        <f>HYPERLINK("https://klasma.github.io/Logging_2462/tillsynsmail/A 49174-2023 tillsynsbegäran mail.docx", "A 49174-2023")</f>
        <v/>
      </c>
      <c r="Z262">
        <f>HYPERLINK("https://klasma.github.io/Logging_2462/fåglar/A 49174-2023 prioriterade fågelarter.docx", "A 49174-2023")</f>
        <v/>
      </c>
    </row>
    <row r="263" ht="15" customHeight="1">
      <c r="A263" t="inlineStr">
        <is>
          <t>A 56840-2023</t>
        </is>
      </c>
      <c r="B263" s="1" t="n">
        <v>45238</v>
      </c>
      <c r="C263" s="1" t="n">
        <v>45788</v>
      </c>
      <c r="D263" t="inlineStr">
        <is>
          <t>VÄSTERBOTTENS LÄN</t>
        </is>
      </c>
      <c r="E263" t="inlineStr">
        <is>
          <t>VILHELMINA</t>
        </is>
      </c>
      <c r="F263" t="inlineStr">
        <is>
          <t>Allmännings- och besparingsskogar</t>
        </is>
      </c>
      <c r="G263" t="n">
        <v>55.3</v>
      </c>
      <c r="H263" t="n">
        <v>0</v>
      </c>
      <c r="I263" t="n">
        <v>1</v>
      </c>
      <c r="J263" t="n">
        <v>7</v>
      </c>
      <c r="K263" t="n">
        <v>2</v>
      </c>
      <c r="L263" t="n">
        <v>0</v>
      </c>
      <c r="M263" t="n">
        <v>0</v>
      </c>
      <c r="N263" t="n">
        <v>0</v>
      </c>
      <c r="O263" t="n">
        <v>9</v>
      </c>
      <c r="P263" t="n">
        <v>2</v>
      </c>
      <c r="Q263" t="n">
        <v>10</v>
      </c>
      <c r="R263" s="2" t="inlineStr">
        <is>
          <t>Kristallticka
Tajgaskinn
Doftskinn
Gammelgransskål
Granticka
Gränsticka
Harticka
Rosenticka
Skrovellav
Sotlav</t>
        </is>
      </c>
      <c r="S263">
        <f>HYPERLINK("https://klasma.github.io/Logging_2462/artfynd/A 56840-2023 artfynd.xlsx", "A 56840-2023")</f>
        <v/>
      </c>
      <c r="T263">
        <f>HYPERLINK("https://klasma.github.io/Logging_2462/kartor/A 56840-2023 karta.png", "A 56840-2023")</f>
        <v/>
      </c>
      <c r="V263">
        <f>HYPERLINK("https://klasma.github.io/Logging_2462/klagomål/A 56840-2023 FSC-klagomål.docx", "A 56840-2023")</f>
        <v/>
      </c>
      <c r="W263">
        <f>HYPERLINK("https://klasma.github.io/Logging_2462/klagomålsmail/A 56840-2023 FSC-klagomål mail.docx", "A 56840-2023")</f>
        <v/>
      </c>
      <c r="X263">
        <f>HYPERLINK("https://klasma.github.io/Logging_2462/tillsyn/A 56840-2023 tillsynsbegäran.docx", "A 56840-2023")</f>
        <v/>
      </c>
      <c r="Y263">
        <f>HYPERLINK("https://klasma.github.io/Logging_2462/tillsynsmail/A 56840-2023 tillsynsbegäran mail.docx", "A 56840-2023")</f>
        <v/>
      </c>
    </row>
    <row r="264" ht="15" customHeight="1">
      <c r="A264" t="inlineStr">
        <is>
          <t>A 15047-2024</t>
        </is>
      </c>
      <c r="B264" s="1" t="n">
        <v>45399</v>
      </c>
      <c r="C264" s="1" t="n">
        <v>45788</v>
      </c>
      <c r="D264" t="inlineStr">
        <is>
          <t>VÄSTERBOTTENS LÄN</t>
        </is>
      </c>
      <c r="E264" t="inlineStr">
        <is>
          <t>VILHELMINA</t>
        </is>
      </c>
      <c r="F264" t="inlineStr">
        <is>
          <t>Övriga statliga verk och myndigheter</t>
        </is>
      </c>
      <c r="G264" t="n">
        <v>1.3</v>
      </c>
      <c r="H264" t="n">
        <v>3</v>
      </c>
      <c r="I264" t="n">
        <v>2</v>
      </c>
      <c r="J264" t="n">
        <v>7</v>
      </c>
      <c r="K264" t="n">
        <v>0</v>
      </c>
      <c r="L264" t="n">
        <v>0</v>
      </c>
      <c r="M264" t="n">
        <v>0</v>
      </c>
      <c r="N264" t="n">
        <v>0</v>
      </c>
      <c r="O264" t="n">
        <v>7</v>
      </c>
      <c r="P264" t="n">
        <v>0</v>
      </c>
      <c r="Q264" t="n">
        <v>10</v>
      </c>
      <c r="R264" s="2" t="inlineStr">
        <is>
          <t>Gammelgransskål
Garnlav
Knottrig blåslav
Liten svartspik
Rödvingetrast
Tretåig hackspett
Vitgrynig nållav
Bårdlav
Luddlav
Orre</t>
        </is>
      </c>
      <c r="S264">
        <f>HYPERLINK("https://klasma.github.io/Logging_2462/artfynd/A 15047-2024 artfynd.xlsx", "A 15047-2024")</f>
        <v/>
      </c>
      <c r="T264">
        <f>HYPERLINK("https://klasma.github.io/Logging_2462/kartor/A 15047-2024 karta.png", "A 15047-2024")</f>
        <v/>
      </c>
      <c r="V264">
        <f>HYPERLINK("https://klasma.github.io/Logging_2462/klagomål/A 15047-2024 FSC-klagomål.docx", "A 15047-2024")</f>
        <v/>
      </c>
      <c r="W264">
        <f>HYPERLINK("https://klasma.github.io/Logging_2462/klagomålsmail/A 15047-2024 FSC-klagomål mail.docx", "A 15047-2024")</f>
        <v/>
      </c>
      <c r="X264">
        <f>HYPERLINK("https://klasma.github.io/Logging_2462/tillsyn/A 15047-2024 tillsynsbegäran.docx", "A 15047-2024")</f>
        <v/>
      </c>
      <c r="Y264">
        <f>HYPERLINK("https://klasma.github.io/Logging_2462/tillsynsmail/A 15047-2024 tillsynsbegäran mail.docx", "A 15047-2024")</f>
        <v/>
      </c>
      <c r="Z264">
        <f>HYPERLINK("https://klasma.github.io/Logging_2462/fåglar/A 15047-2024 prioriterade fågelarter.docx", "A 15047-2024")</f>
        <v/>
      </c>
    </row>
    <row r="265" ht="15" customHeight="1">
      <c r="A265" t="inlineStr">
        <is>
          <t>A 15048-2024</t>
        </is>
      </c>
      <c r="B265" s="1" t="n">
        <v>45399</v>
      </c>
      <c r="C265" s="1" t="n">
        <v>45788</v>
      </c>
      <c r="D265" t="inlineStr">
        <is>
          <t>VÄSTERBOTTENS LÄN</t>
        </is>
      </c>
      <c r="E265" t="inlineStr">
        <is>
          <t>VILHELMINA</t>
        </is>
      </c>
      <c r="F265" t="inlineStr">
        <is>
          <t>SCA</t>
        </is>
      </c>
      <c r="G265" t="n">
        <v>4</v>
      </c>
      <c r="H265" t="n">
        <v>1</v>
      </c>
      <c r="I265" t="n">
        <v>1</v>
      </c>
      <c r="J265" t="n">
        <v>9</v>
      </c>
      <c r="K265" t="n">
        <v>0</v>
      </c>
      <c r="L265" t="n">
        <v>0</v>
      </c>
      <c r="M265" t="n">
        <v>0</v>
      </c>
      <c r="N265" t="n">
        <v>0</v>
      </c>
      <c r="O265" t="n">
        <v>9</v>
      </c>
      <c r="P265" t="n">
        <v>0</v>
      </c>
      <c r="Q265" t="n">
        <v>10</v>
      </c>
      <c r="R265" s="2" t="inlineStr">
        <is>
          <t>Gammelgransskål
Garnlav
Granticka
Gränsticka
Harticka
Knottrig blåslav
Liten svartspik
Tretåig hackspett
Vitgrynig nållav
Stuplav</t>
        </is>
      </c>
      <c r="S265">
        <f>HYPERLINK("https://klasma.github.io/Logging_2462/artfynd/A 15048-2024 artfynd.xlsx", "A 15048-2024")</f>
        <v/>
      </c>
      <c r="T265">
        <f>HYPERLINK("https://klasma.github.io/Logging_2462/kartor/A 15048-2024 karta.png", "A 15048-2024")</f>
        <v/>
      </c>
      <c r="V265">
        <f>HYPERLINK("https://klasma.github.io/Logging_2462/klagomål/A 15048-2024 FSC-klagomål.docx", "A 15048-2024")</f>
        <v/>
      </c>
      <c r="W265">
        <f>HYPERLINK("https://klasma.github.io/Logging_2462/klagomålsmail/A 15048-2024 FSC-klagomål mail.docx", "A 15048-2024")</f>
        <v/>
      </c>
      <c r="X265">
        <f>HYPERLINK("https://klasma.github.io/Logging_2462/tillsyn/A 15048-2024 tillsynsbegäran.docx", "A 15048-2024")</f>
        <v/>
      </c>
      <c r="Y265">
        <f>HYPERLINK("https://klasma.github.io/Logging_2462/tillsynsmail/A 15048-2024 tillsynsbegäran mail.docx", "A 15048-2024")</f>
        <v/>
      </c>
      <c r="Z265">
        <f>HYPERLINK("https://klasma.github.io/Logging_2462/fåglar/A 15048-2024 prioriterade fågelarter.docx", "A 15048-2024")</f>
        <v/>
      </c>
    </row>
    <row r="266" ht="15" customHeight="1">
      <c r="A266" t="inlineStr">
        <is>
          <t>A 22677-2024</t>
        </is>
      </c>
      <c r="B266" s="1" t="n">
        <v>45447</v>
      </c>
      <c r="C266" s="1" t="n">
        <v>45788</v>
      </c>
      <c r="D266" t="inlineStr">
        <is>
          <t>VÄSTERBOTTENS LÄN</t>
        </is>
      </c>
      <c r="E266" t="inlineStr">
        <is>
          <t>BJURHOLM</t>
        </is>
      </c>
      <c r="F266" t="inlineStr">
        <is>
          <t>SCA</t>
        </is>
      </c>
      <c r="G266" t="n">
        <v>14.4</v>
      </c>
      <c r="H266" t="n">
        <v>3</v>
      </c>
      <c r="I266" t="n">
        <v>1</v>
      </c>
      <c r="J266" t="n">
        <v>6</v>
      </c>
      <c r="K266" t="n">
        <v>1</v>
      </c>
      <c r="L266" t="n">
        <v>0</v>
      </c>
      <c r="M266" t="n">
        <v>0</v>
      </c>
      <c r="N266" t="n">
        <v>0</v>
      </c>
      <c r="O266" t="n">
        <v>7</v>
      </c>
      <c r="P266" t="n">
        <v>1</v>
      </c>
      <c r="Q266" t="n">
        <v>10</v>
      </c>
      <c r="R266" s="2" t="inlineStr">
        <is>
          <t>Lappticka
Duvhök
Garnlav
Granticka
Lunglav
Stjärntagging
Ullticka
Vedticka
Tjäder
Fläcknycklar</t>
        </is>
      </c>
      <c r="S266">
        <f>HYPERLINK("https://klasma.github.io/Logging_2403/artfynd/A 22677-2024 artfynd.xlsx", "A 22677-2024")</f>
        <v/>
      </c>
      <c r="T266">
        <f>HYPERLINK("https://klasma.github.io/Logging_2403/kartor/A 22677-2024 karta.png", "A 22677-2024")</f>
        <v/>
      </c>
      <c r="V266">
        <f>HYPERLINK("https://klasma.github.io/Logging_2403/klagomål/A 22677-2024 FSC-klagomål.docx", "A 22677-2024")</f>
        <v/>
      </c>
      <c r="W266">
        <f>HYPERLINK("https://klasma.github.io/Logging_2403/klagomålsmail/A 22677-2024 FSC-klagomål mail.docx", "A 22677-2024")</f>
        <v/>
      </c>
      <c r="X266">
        <f>HYPERLINK("https://klasma.github.io/Logging_2403/tillsyn/A 22677-2024 tillsynsbegäran.docx", "A 22677-2024")</f>
        <v/>
      </c>
      <c r="Y266">
        <f>HYPERLINK("https://klasma.github.io/Logging_2403/tillsynsmail/A 22677-2024 tillsynsbegäran mail.docx", "A 22677-2024")</f>
        <v/>
      </c>
      <c r="Z266">
        <f>HYPERLINK("https://klasma.github.io/Logging_2403/fåglar/A 22677-2024 prioriterade fågelarter.docx", "A 22677-2024")</f>
        <v/>
      </c>
    </row>
    <row r="267" ht="15" customHeight="1">
      <c r="A267" t="inlineStr">
        <is>
          <t>A 25571-2024</t>
        </is>
      </c>
      <c r="B267" s="1" t="n">
        <v>45463</v>
      </c>
      <c r="C267" s="1" t="n">
        <v>45788</v>
      </c>
      <c r="D267" t="inlineStr">
        <is>
          <t>VÄSTERBOTTENS LÄN</t>
        </is>
      </c>
      <c r="E267" t="inlineStr">
        <is>
          <t>VILHELMINA</t>
        </is>
      </c>
      <c r="F267" t="inlineStr">
        <is>
          <t>Sveaskog</t>
        </is>
      </c>
      <c r="G267" t="n">
        <v>8.300000000000001</v>
      </c>
      <c r="H267" t="n">
        <v>0</v>
      </c>
      <c r="I267" t="n">
        <v>0</v>
      </c>
      <c r="J267" t="n">
        <v>8</v>
      </c>
      <c r="K267" t="n">
        <v>2</v>
      </c>
      <c r="L267" t="n">
        <v>0</v>
      </c>
      <c r="M267" t="n">
        <v>0</v>
      </c>
      <c r="N267" t="n">
        <v>0</v>
      </c>
      <c r="O267" t="n">
        <v>10</v>
      </c>
      <c r="P267" t="n">
        <v>2</v>
      </c>
      <c r="Q267" t="n">
        <v>10</v>
      </c>
      <c r="R267" s="2" t="inlineStr">
        <is>
          <t>Blackticka
Rynkskinn
Garnlav
Granticka
Kandelabersvamp
Kolflarnlav
Koralltaggsvamp
Oljetagging
Skrovellav
Stjärntagging</t>
        </is>
      </c>
      <c r="S267">
        <f>HYPERLINK("https://klasma.github.io/Logging_2462/artfynd/A 25571-2024 artfynd.xlsx", "A 25571-2024")</f>
        <v/>
      </c>
      <c r="T267">
        <f>HYPERLINK("https://klasma.github.io/Logging_2462/kartor/A 25571-2024 karta.png", "A 25571-2024")</f>
        <v/>
      </c>
      <c r="V267">
        <f>HYPERLINK("https://klasma.github.io/Logging_2462/klagomål/A 25571-2024 FSC-klagomål.docx", "A 25571-2024")</f>
        <v/>
      </c>
      <c r="W267">
        <f>HYPERLINK("https://klasma.github.io/Logging_2462/klagomålsmail/A 25571-2024 FSC-klagomål mail.docx", "A 25571-2024")</f>
        <v/>
      </c>
      <c r="X267">
        <f>HYPERLINK("https://klasma.github.io/Logging_2462/tillsyn/A 25571-2024 tillsynsbegäran.docx", "A 25571-2024")</f>
        <v/>
      </c>
      <c r="Y267">
        <f>HYPERLINK("https://klasma.github.io/Logging_2462/tillsynsmail/A 25571-2024 tillsynsbegäran mail.docx", "A 25571-2024")</f>
        <v/>
      </c>
    </row>
    <row r="268" ht="15" customHeight="1">
      <c r="A268" t="inlineStr">
        <is>
          <t>A 28701-2024</t>
        </is>
      </c>
      <c r="B268" s="1" t="n">
        <v>45478</v>
      </c>
      <c r="C268" s="1" t="n">
        <v>45788</v>
      </c>
      <c r="D268" t="inlineStr">
        <is>
          <t>VÄSTERBOTTENS LÄN</t>
        </is>
      </c>
      <c r="E268" t="inlineStr">
        <is>
          <t>VILHELMINA</t>
        </is>
      </c>
      <c r="F268" t="inlineStr">
        <is>
          <t>Allmännings- och besparingsskogar</t>
        </is>
      </c>
      <c r="G268" t="n">
        <v>4.3</v>
      </c>
      <c r="H268" t="n">
        <v>1</v>
      </c>
      <c r="I268" t="n">
        <v>3</v>
      </c>
      <c r="J268" t="n">
        <v>6</v>
      </c>
      <c r="K268" t="n">
        <v>1</v>
      </c>
      <c r="L268" t="n">
        <v>0</v>
      </c>
      <c r="M268" t="n">
        <v>0</v>
      </c>
      <c r="N268" t="n">
        <v>0</v>
      </c>
      <c r="O268" t="n">
        <v>7</v>
      </c>
      <c r="P268" t="n">
        <v>1</v>
      </c>
      <c r="Q268" t="n">
        <v>10</v>
      </c>
      <c r="R268" s="2" t="inlineStr">
        <is>
          <t>Grantickeporing
Gammelgransskål
Garnlav
Granticka
Skrovellav
Tretåig hackspett
Vitgrynig nållav
Bårdlav
Luddlav
Stuplav</t>
        </is>
      </c>
      <c r="S268">
        <f>HYPERLINK("https://klasma.github.io/Logging_2462/artfynd/A 28701-2024 artfynd.xlsx", "A 28701-2024")</f>
        <v/>
      </c>
      <c r="T268">
        <f>HYPERLINK("https://klasma.github.io/Logging_2462/kartor/A 28701-2024 karta.png", "A 28701-2024")</f>
        <v/>
      </c>
      <c r="V268">
        <f>HYPERLINK("https://klasma.github.io/Logging_2462/klagomål/A 28701-2024 FSC-klagomål.docx", "A 28701-2024")</f>
        <v/>
      </c>
      <c r="W268">
        <f>HYPERLINK("https://klasma.github.io/Logging_2462/klagomålsmail/A 28701-2024 FSC-klagomål mail.docx", "A 28701-2024")</f>
        <v/>
      </c>
      <c r="X268">
        <f>HYPERLINK("https://klasma.github.io/Logging_2462/tillsyn/A 28701-2024 tillsynsbegäran.docx", "A 28701-2024")</f>
        <v/>
      </c>
      <c r="Y268">
        <f>HYPERLINK("https://klasma.github.io/Logging_2462/tillsynsmail/A 28701-2024 tillsynsbegäran mail.docx", "A 28701-2024")</f>
        <v/>
      </c>
      <c r="Z268">
        <f>HYPERLINK("https://klasma.github.io/Logging_2462/fåglar/A 28701-2024 prioriterade fågelarter.docx", "A 28701-2024")</f>
        <v/>
      </c>
    </row>
    <row r="269" ht="15" customHeight="1">
      <c r="A269" t="inlineStr">
        <is>
          <t>A 28662-2024</t>
        </is>
      </c>
      <c r="B269" s="1" t="n">
        <v>45478</v>
      </c>
      <c r="C269" s="1" t="n">
        <v>45788</v>
      </c>
      <c r="D269" t="inlineStr">
        <is>
          <t>VÄSTERBOTTENS LÄN</t>
        </is>
      </c>
      <c r="E269" t="inlineStr">
        <is>
          <t>VILHELMINA</t>
        </is>
      </c>
      <c r="F269" t="inlineStr">
        <is>
          <t>Allmännings- och besparingsskogar</t>
        </is>
      </c>
      <c r="G269" t="n">
        <v>2.2</v>
      </c>
      <c r="H269" t="n">
        <v>3</v>
      </c>
      <c r="I269" t="n">
        <v>2</v>
      </c>
      <c r="J269" t="n">
        <v>7</v>
      </c>
      <c r="K269" t="n">
        <v>0</v>
      </c>
      <c r="L269" t="n">
        <v>0</v>
      </c>
      <c r="M269" t="n">
        <v>0</v>
      </c>
      <c r="N269" t="n">
        <v>0</v>
      </c>
      <c r="O269" t="n">
        <v>7</v>
      </c>
      <c r="P269" t="n">
        <v>0</v>
      </c>
      <c r="Q269" t="n">
        <v>10</v>
      </c>
      <c r="R269" s="2" t="inlineStr">
        <is>
          <t>Garnlav
Granticka
Liten svartspik
Skrovellav
Talltita
Tretåig hackspett
Vitgrynig nållav
Gytterlav
Luddlav
Äkta lopplummer</t>
        </is>
      </c>
      <c r="S269">
        <f>HYPERLINK("https://klasma.github.io/Logging_2462/artfynd/A 28662-2024 artfynd.xlsx", "A 28662-2024")</f>
        <v/>
      </c>
      <c r="T269">
        <f>HYPERLINK("https://klasma.github.io/Logging_2462/kartor/A 28662-2024 karta.png", "A 28662-2024")</f>
        <v/>
      </c>
      <c r="V269">
        <f>HYPERLINK("https://klasma.github.io/Logging_2462/klagomål/A 28662-2024 FSC-klagomål.docx", "A 28662-2024")</f>
        <v/>
      </c>
      <c r="W269">
        <f>HYPERLINK("https://klasma.github.io/Logging_2462/klagomålsmail/A 28662-2024 FSC-klagomål mail.docx", "A 28662-2024")</f>
        <v/>
      </c>
      <c r="X269">
        <f>HYPERLINK("https://klasma.github.io/Logging_2462/tillsyn/A 28662-2024 tillsynsbegäran.docx", "A 28662-2024")</f>
        <v/>
      </c>
      <c r="Y269">
        <f>HYPERLINK("https://klasma.github.io/Logging_2462/tillsynsmail/A 28662-2024 tillsynsbegäran mail.docx", "A 28662-2024")</f>
        <v/>
      </c>
      <c r="Z269">
        <f>HYPERLINK("https://klasma.github.io/Logging_2462/fåglar/A 28662-2024 prioriterade fågelarter.docx", "A 28662-2024")</f>
        <v/>
      </c>
    </row>
    <row r="270" ht="15" customHeight="1">
      <c r="A270" t="inlineStr">
        <is>
          <t>A 40958-2024</t>
        </is>
      </c>
      <c r="B270" s="1" t="n">
        <v>45558</v>
      </c>
      <c r="C270" s="1" t="n">
        <v>45788</v>
      </c>
      <c r="D270" t="inlineStr">
        <is>
          <t>VÄSTERBOTTENS LÄN</t>
        </is>
      </c>
      <c r="E270" t="inlineStr">
        <is>
          <t>VILHELMINA</t>
        </is>
      </c>
      <c r="F270" t="inlineStr">
        <is>
          <t>Allmännings- och besparingsskogar</t>
        </is>
      </c>
      <c r="G270" t="n">
        <v>7.1</v>
      </c>
      <c r="H270" t="n">
        <v>2</v>
      </c>
      <c r="I270" t="n">
        <v>4</v>
      </c>
      <c r="J270" t="n">
        <v>6</v>
      </c>
      <c r="K270" t="n">
        <v>0</v>
      </c>
      <c r="L270" t="n">
        <v>0</v>
      </c>
      <c r="M270" t="n">
        <v>0</v>
      </c>
      <c r="N270" t="n">
        <v>0</v>
      </c>
      <c r="O270" t="n">
        <v>6</v>
      </c>
      <c r="P270" t="n">
        <v>0</v>
      </c>
      <c r="Q270" t="n">
        <v>10</v>
      </c>
      <c r="R270" s="2" t="inlineStr">
        <is>
          <t>Garnlav
Gränsticka
Järpe
Skrovellav
Tretåig hackspett
Vitgrynig nållav
Bårdlav
Luddlav
Mörk husmossa
Stuplav</t>
        </is>
      </c>
      <c r="S270">
        <f>HYPERLINK("https://klasma.github.io/Logging_2462/artfynd/A 40958-2024 artfynd.xlsx", "A 40958-2024")</f>
        <v/>
      </c>
      <c r="T270">
        <f>HYPERLINK("https://klasma.github.io/Logging_2462/kartor/A 40958-2024 karta.png", "A 40958-2024")</f>
        <v/>
      </c>
      <c r="V270">
        <f>HYPERLINK("https://klasma.github.io/Logging_2462/klagomål/A 40958-2024 FSC-klagomål.docx", "A 40958-2024")</f>
        <v/>
      </c>
      <c r="W270">
        <f>HYPERLINK("https://klasma.github.io/Logging_2462/klagomålsmail/A 40958-2024 FSC-klagomål mail.docx", "A 40958-2024")</f>
        <v/>
      </c>
      <c r="X270">
        <f>HYPERLINK("https://klasma.github.io/Logging_2462/tillsyn/A 40958-2024 tillsynsbegäran.docx", "A 40958-2024")</f>
        <v/>
      </c>
      <c r="Y270">
        <f>HYPERLINK("https://klasma.github.io/Logging_2462/tillsynsmail/A 40958-2024 tillsynsbegäran mail.docx", "A 40958-2024")</f>
        <v/>
      </c>
      <c r="Z270">
        <f>HYPERLINK("https://klasma.github.io/Logging_2462/fåglar/A 40958-2024 prioriterade fågelarter.docx", "A 40958-2024")</f>
        <v/>
      </c>
    </row>
    <row r="271" ht="15" customHeight="1">
      <c r="A271" t="inlineStr">
        <is>
          <t>A 43214-2024</t>
        </is>
      </c>
      <c r="B271" s="1" t="n">
        <v>45567</v>
      </c>
      <c r="C271" s="1" t="n">
        <v>45788</v>
      </c>
      <c r="D271" t="inlineStr">
        <is>
          <t>VÄSTERBOTTENS LÄN</t>
        </is>
      </c>
      <c r="E271" t="inlineStr">
        <is>
          <t>SKELLEFTEÅ</t>
        </is>
      </c>
      <c r="G271" t="n">
        <v>28.3</v>
      </c>
      <c r="H271" t="n">
        <v>3</v>
      </c>
      <c r="I271" t="n">
        <v>3</v>
      </c>
      <c r="J271" t="n">
        <v>5</v>
      </c>
      <c r="K271" t="n">
        <v>1</v>
      </c>
      <c r="L271" t="n">
        <v>0</v>
      </c>
      <c r="M271" t="n">
        <v>0</v>
      </c>
      <c r="N271" t="n">
        <v>0</v>
      </c>
      <c r="O271" t="n">
        <v>6</v>
      </c>
      <c r="P271" t="n">
        <v>1</v>
      </c>
      <c r="Q271" t="n">
        <v>10</v>
      </c>
      <c r="R271" s="2" t="inlineStr">
        <is>
          <t>Knärot
Gammelgransskål
Granticka
Talltita
Ullticka
Vitgrynig nållav
Grönpyrola
Kornig nållav
Vedticka
Gråspett</t>
        </is>
      </c>
      <c r="S271">
        <f>HYPERLINK("https://klasma.github.io/Logging_2482/artfynd/A 43214-2024 artfynd.xlsx", "A 43214-2024")</f>
        <v/>
      </c>
      <c r="T271">
        <f>HYPERLINK("https://klasma.github.io/Logging_2482/kartor/A 43214-2024 karta.png", "A 43214-2024")</f>
        <v/>
      </c>
      <c r="U271">
        <f>HYPERLINK("https://klasma.github.io/Logging_2482/knärot/A 43214-2024 karta knärot.png", "A 43214-2024")</f>
        <v/>
      </c>
      <c r="V271">
        <f>HYPERLINK("https://klasma.github.io/Logging_2482/klagomål/A 43214-2024 FSC-klagomål.docx", "A 43214-2024")</f>
        <v/>
      </c>
      <c r="W271">
        <f>HYPERLINK("https://klasma.github.io/Logging_2482/klagomålsmail/A 43214-2024 FSC-klagomål mail.docx", "A 43214-2024")</f>
        <v/>
      </c>
      <c r="X271">
        <f>HYPERLINK("https://klasma.github.io/Logging_2482/tillsyn/A 43214-2024 tillsynsbegäran.docx", "A 43214-2024")</f>
        <v/>
      </c>
      <c r="Y271">
        <f>HYPERLINK("https://klasma.github.io/Logging_2482/tillsynsmail/A 43214-2024 tillsynsbegäran mail.docx", "A 43214-2024")</f>
        <v/>
      </c>
      <c r="Z271">
        <f>HYPERLINK("https://klasma.github.io/Logging_2482/fåglar/A 43214-2024 prioriterade fågelarter.docx", "A 43214-2024")</f>
        <v/>
      </c>
    </row>
    <row r="272" ht="15" customHeight="1">
      <c r="A272" t="inlineStr">
        <is>
          <t>A 50032-2024</t>
        </is>
      </c>
      <c r="B272" s="1" t="n">
        <v>45599</v>
      </c>
      <c r="C272" s="1" t="n">
        <v>45788</v>
      </c>
      <c r="D272" t="inlineStr">
        <is>
          <t>VÄSTERBOTTENS LÄN</t>
        </is>
      </c>
      <c r="E272" t="inlineStr">
        <is>
          <t>SKELLEFTEÅ</t>
        </is>
      </c>
      <c r="F272" t="inlineStr">
        <is>
          <t>Sveaskog</t>
        </is>
      </c>
      <c r="G272" t="n">
        <v>22.7</v>
      </c>
      <c r="H272" t="n">
        <v>3</v>
      </c>
      <c r="I272" t="n">
        <v>2</v>
      </c>
      <c r="J272" t="n">
        <v>7</v>
      </c>
      <c r="K272" t="n">
        <v>0</v>
      </c>
      <c r="L272" t="n">
        <v>1</v>
      </c>
      <c r="M272" t="n">
        <v>0</v>
      </c>
      <c r="N272" t="n">
        <v>0</v>
      </c>
      <c r="O272" t="n">
        <v>8</v>
      </c>
      <c r="P272" t="n">
        <v>1</v>
      </c>
      <c r="Q272" t="n">
        <v>10</v>
      </c>
      <c r="R272" s="2" t="inlineStr">
        <is>
          <t>Urskogsporing
Gammelgransskål
Granticka
Kolflarnlav
Mörk kolflarnlav
Spillkråka
Talltita
Tretåig hackspett
Dropptaggsvamp
Skinnlav</t>
        </is>
      </c>
      <c r="S272">
        <f>HYPERLINK("https://klasma.github.io/Logging_2482/artfynd/A 50032-2024 artfynd.xlsx", "A 50032-2024")</f>
        <v/>
      </c>
      <c r="T272">
        <f>HYPERLINK("https://klasma.github.io/Logging_2482/kartor/A 50032-2024 karta.png", "A 50032-2024")</f>
        <v/>
      </c>
      <c r="V272">
        <f>HYPERLINK("https://klasma.github.io/Logging_2482/klagomål/A 50032-2024 FSC-klagomål.docx", "A 50032-2024")</f>
        <v/>
      </c>
      <c r="W272">
        <f>HYPERLINK("https://klasma.github.io/Logging_2482/klagomålsmail/A 50032-2024 FSC-klagomål mail.docx", "A 50032-2024")</f>
        <v/>
      </c>
      <c r="X272">
        <f>HYPERLINK("https://klasma.github.io/Logging_2482/tillsyn/A 50032-2024 tillsynsbegäran.docx", "A 50032-2024")</f>
        <v/>
      </c>
      <c r="Y272">
        <f>HYPERLINK("https://klasma.github.io/Logging_2482/tillsynsmail/A 50032-2024 tillsynsbegäran mail.docx", "A 50032-2024")</f>
        <v/>
      </c>
      <c r="Z272">
        <f>HYPERLINK("https://klasma.github.io/Logging_2482/fåglar/A 50032-2024 prioriterade fågelarter.docx", "A 50032-2024")</f>
        <v/>
      </c>
    </row>
    <row r="273" ht="15" customHeight="1">
      <c r="A273" t="inlineStr">
        <is>
          <t>A 59038-2024</t>
        </is>
      </c>
      <c r="B273" s="1" t="n">
        <v>45636</v>
      </c>
      <c r="C273" s="1" t="n">
        <v>45788</v>
      </c>
      <c r="D273" t="inlineStr">
        <is>
          <t>VÄSTERBOTTENS LÄN</t>
        </is>
      </c>
      <c r="E273" t="inlineStr">
        <is>
          <t>VILHELMINA</t>
        </is>
      </c>
      <c r="F273" t="inlineStr">
        <is>
          <t>Allmännings- och besparingsskogar</t>
        </is>
      </c>
      <c r="G273" t="n">
        <v>12.1</v>
      </c>
      <c r="H273" t="n">
        <v>2</v>
      </c>
      <c r="I273" t="n">
        <v>1</v>
      </c>
      <c r="J273" t="n">
        <v>8</v>
      </c>
      <c r="K273" t="n">
        <v>0</v>
      </c>
      <c r="L273" t="n">
        <v>0</v>
      </c>
      <c r="M273" t="n">
        <v>0</v>
      </c>
      <c r="N273" t="n">
        <v>0</v>
      </c>
      <c r="O273" t="n">
        <v>8</v>
      </c>
      <c r="P273" t="n">
        <v>0</v>
      </c>
      <c r="Q273" t="n">
        <v>10</v>
      </c>
      <c r="R273" s="2" t="inlineStr">
        <is>
          <t>Gammelgransskål
Garnlav
Granticka
Knottrig blåslav
Rödvingetrast
Ullticka
Vitgrynig nållav
Vitskaftad svartspik
Mörk husmossa
Lavskrika</t>
        </is>
      </c>
      <c r="S273">
        <f>HYPERLINK("https://klasma.github.io/Logging_2462/artfynd/A 59038-2024 artfynd.xlsx", "A 59038-2024")</f>
        <v/>
      </c>
      <c r="T273">
        <f>HYPERLINK("https://klasma.github.io/Logging_2462/kartor/A 59038-2024 karta.png", "A 59038-2024")</f>
        <v/>
      </c>
      <c r="V273">
        <f>HYPERLINK("https://klasma.github.io/Logging_2462/klagomål/A 59038-2024 FSC-klagomål.docx", "A 59038-2024")</f>
        <v/>
      </c>
      <c r="W273">
        <f>HYPERLINK("https://klasma.github.io/Logging_2462/klagomålsmail/A 59038-2024 FSC-klagomål mail.docx", "A 59038-2024")</f>
        <v/>
      </c>
      <c r="X273">
        <f>HYPERLINK("https://klasma.github.io/Logging_2462/tillsyn/A 59038-2024 tillsynsbegäran.docx", "A 59038-2024")</f>
        <v/>
      </c>
      <c r="Y273">
        <f>HYPERLINK("https://klasma.github.io/Logging_2462/tillsynsmail/A 59038-2024 tillsynsbegäran mail.docx", "A 59038-2024")</f>
        <v/>
      </c>
      <c r="Z273">
        <f>HYPERLINK("https://klasma.github.io/Logging_2462/fåglar/A 59038-2024 prioriterade fågelarter.docx", "A 59038-2024")</f>
        <v/>
      </c>
    </row>
    <row r="274" ht="15" customHeight="1">
      <c r="A274" t="inlineStr">
        <is>
          <t>A 59220-2024</t>
        </is>
      </c>
      <c r="B274" s="1" t="n">
        <v>45637</v>
      </c>
      <c r="C274" s="1" t="n">
        <v>45788</v>
      </c>
      <c r="D274" t="inlineStr">
        <is>
          <t>VÄSTERBOTTENS LÄN</t>
        </is>
      </c>
      <c r="E274" t="inlineStr">
        <is>
          <t>MALÅ</t>
        </is>
      </c>
      <c r="G274" t="n">
        <v>25.9</v>
      </c>
      <c r="H274" t="n">
        <v>0</v>
      </c>
      <c r="I274" t="n">
        <v>2</v>
      </c>
      <c r="J274" t="n">
        <v>8</v>
      </c>
      <c r="K274" t="n">
        <v>0</v>
      </c>
      <c r="L274" t="n">
        <v>0</v>
      </c>
      <c r="M274" t="n">
        <v>0</v>
      </c>
      <c r="N274" t="n">
        <v>0</v>
      </c>
      <c r="O274" t="n">
        <v>8</v>
      </c>
      <c r="P274" t="n">
        <v>0</v>
      </c>
      <c r="Q274" t="n">
        <v>10</v>
      </c>
      <c r="R274" s="2" t="inlineStr">
        <is>
          <t>Gammelgransskål
Garnlav
Granticka
Gränsticka
Harticka
Knottrig blåslav
Ullticka
Vitgrynig nållav
Dvärgtufs
Luddlav</t>
        </is>
      </c>
      <c r="S274">
        <f>HYPERLINK("https://klasma.github.io/Logging_2418/artfynd/A 59220-2024 artfynd.xlsx", "A 59220-2024")</f>
        <v/>
      </c>
      <c r="T274">
        <f>HYPERLINK("https://klasma.github.io/Logging_2418/kartor/A 59220-2024 karta.png", "A 59220-2024")</f>
        <v/>
      </c>
      <c r="V274">
        <f>HYPERLINK("https://klasma.github.io/Logging_2418/klagomål/A 59220-2024 FSC-klagomål.docx", "A 59220-2024")</f>
        <v/>
      </c>
      <c r="W274">
        <f>HYPERLINK("https://klasma.github.io/Logging_2418/klagomålsmail/A 59220-2024 FSC-klagomål mail.docx", "A 59220-2024")</f>
        <v/>
      </c>
      <c r="X274">
        <f>HYPERLINK("https://klasma.github.io/Logging_2418/tillsyn/A 59220-2024 tillsynsbegäran.docx", "A 59220-2024")</f>
        <v/>
      </c>
      <c r="Y274">
        <f>HYPERLINK("https://klasma.github.io/Logging_2418/tillsynsmail/A 59220-2024 tillsynsbegäran mail.docx", "A 59220-2024")</f>
        <v/>
      </c>
    </row>
    <row r="275" ht="15" customHeight="1">
      <c r="A275" t="inlineStr">
        <is>
          <t>A 24922-2019</t>
        </is>
      </c>
      <c r="B275" s="1" t="n">
        <v>43599</v>
      </c>
      <c r="C275" s="1" t="n">
        <v>45788</v>
      </c>
      <c r="D275" t="inlineStr">
        <is>
          <t>VÄSTERBOTTENS LÄN</t>
        </is>
      </c>
      <c r="E275" t="inlineStr">
        <is>
          <t>VÄNNÄS</t>
        </is>
      </c>
      <c r="G275" t="n">
        <v>4</v>
      </c>
      <c r="H275" t="n">
        <v>2</v>
      </c>
      <c r="I275" t="n">
        <v>0</v>
      </c>
      <c r="J275" t="n">
        <v>6</v>
      </c>
      <c r="K275" t="n">
        <v>3</v>
      </c>
      <c r="L275" t="n">
        <v>0</v>
      </c>
      <c r="M275" t="n">
        <v>0</v>
      </c>
      <c r="N275" t="n">
        <v>0</v>
      </c>
      <c r="O275" t="n">
        <v>9</v>
      </c>
      <c r="P275" t="n">
        <v>3</v>
      </c>
      <c r="Q275" t="n">
        <v>9</v>
      </c>
      <c r="R275" s="2" t="inlineStr">
        <is>
          <t>Blackticka
Rynkskinn
Ulltickeporing
Gammelgransskål
Garnlav
Granticka
Järpe
Tretåig hackspett
Ullticka</t>
        </is>
      </c>
      <c r="S275">
        <f>HYPERLINK("https://klasma.github.io/Logging_2460/artfynd/A 24922-2019 artfynd.xlsx", "A 24922-2019")</f>
        <v/>
      </c>
      <c r="T275">
        <f>HYPERLINK("https://klasma.github.io/Logging_2460/kartor/A 24922-2019 karta.png", "A 24922-2019")</f>
        <v/>
      </c>
      <c r="V275">
        <f>HYPERLINK("https://klasma.github.io/Logging_2460/klagomål/A 24922-2019 FSC-klagomål.docx", "A 24922-2019")</f>
        <v/>
      </c>
      <c r="W275">
        <f>HYPERLINK("https://klasma.github.io/Logging_2460/klagomålsmail/A 24922-2019 FSC-klagomål mail.docx", "A 24922-2019")</f>
        <v/>
      </c>
      <c r="X275">
        <f>HYPERLINK("https://klasma.github.io/Logging_2460/tillsyn/A 24922-2019 tillsynsbegäran.docx", "A 24922-2019")</f>
        <v/>
      </c>
      <c r="Y275">
        <f>HYPERLINK("https://klasma.github.io/Logging_2460/tillsynsmail/A 24922-2019 tillsynsbegäran mail.docx", "A 24922-2019")</f>
        <v/>
      </c>
      <c r="Z275">
        <f>HYPERLINK("https://klasma.github.io/Logging_2460/fåglar/A 24922-2019 prioriterade fågelarter.docx", "A 24922-2019")</f>
        <v/>
      </c>
    </row>
    <row r="276" ht="15" customHeight="1">
      <c r="A276" t="inlineStr">
        <is>
          <t>A 25504-2020</t>
        </is>
      </c>
      <c r="B276" s="1" t="n">
        <v>43983</v>
      </c>
      <c r="C276" s="1" t="n">
        <v>45788</v>
      </c>
      <c r="D276" t="inlineStr">
        <is>
          <t>VÄSTERBOTTENS LÄN</t>
        </is>
      </c>
      <c r="E276" t="inlineStr">
        <is>
          <t>VILHELMINA</t>
        </is>
      </c>
      <c r="F276" t="inlineStr">
        <is>
          <t>Allmännings- och besparingsskogar</t>
        </is>
      </c>
      <c r="G276" t="n">
        <v>18.6</v>
      </c>
      <c r="H276" t="n">
        <v>2</v>
      </c>
      <c r="I276" t="n">
        <v>2</v>
      </c>
      <c r="J276" t="n">
        <v>7</v>
      </c>
      <c r="K276" t="n">
        <v>0</v>
      </c>
      <c r="L276" t="n">
        <v>0</v>
      </c>
      <c r="M276" t="n">
        <v>0</v>
      </c>
      <c r="N276" t="n">
        <v>0</v>
      </c>
      <c r="O276" t="n">
        <v>7</v>
      </c>
      <c r="P276" t="n">
        <v>0</v>
      </c>
      <c r="Q276" t="n">
        <v>9</v>
      </c>
      <c r="R276" s="2" t="inlineStr">
        <is>
          <t>Gammelgransskål
Garnlav
Granticka
Gränsticka
Knottrig blåslav
Lappmes
Ullticka
Bårdlav
Spindelblomster</t>
        </is>
      </c>
      <c r="S276">
        <f>HYPERLINK("https://klasma.github.io/Logging_2462/artfynd/A 25504-2020 artfynd.xlsx", "A 25504-2020")</f>
        <v/>
      </c>
      <c r="T276">
        <f>HYPERLINK("https://klasma.github.io/Logging_2462/kartor/A 25504-2020 karta.png", "A 25504-2020")</f>
        <v/>
      </c>
      <c r="V276">
        <f>HYPERLINK("https://klasma.github.io/Logging_2462/klagomål/A 25504-2020 FSC-klagomål.docx", "A 25504-2020")</f>
        <v/>
      </c>
      <c r="W276">
        <f>HYPERLINK("https://klasma.github.io/Logging_2462/klagomålsmail/A 25504-2020 FSC-klagomål mail.docx", "A 25504-2020")</f>
        <v/>
      </c>
      <c r="X276">
        <f>HYPERLINK("https://klasma.github.io/Logging_2462/tillsyn/A 25504-2020 tillsynsbegäran.docx", "A 25504-2020")</f>
        <v/>
      </c>
      <c r="Y276">
        <f>HYPERLINK("https://klasma.github.io/Logging_2462/tillsynsmail/A 25504-2020 tillsynsbegäran mail.docx", "A 25504-2020")</f>
        <v/>
      </c>
      <c r="Z276">
        <f>HYPERLINK("https://klasma.github.io/Logging_2462/fåglar/A 25504-2020 prioriterade fågelarter.docx", "A 25504-2020")</f>
        <v/>
      </c>
    </row>
    <row r="277" ht="15" customHeight="1">
      <c r="A277" t="inlineStr">
        <is>
          <t>A 31799-2020</t>
        </is>
      </c>
      <c r="B277" s="1" t="n">
        <v>44013</v>
      </c>
      <c r="C277" s="1" t="n">
        <v>45788</v>
      </c>
      <c r="D277" t="inlineStr">
        <is>
          <t>VÄSTERBOTTENS LÄN</t>
        </is>
      </c>
      <c r="E277" t="inlineStr">
        <is>
          <t>SORSELE</t>
        </is>
      </c>
      <c r="F277" t="inlineStr">
        <is>
          <t>Allmännings- och besparingsskogar</t>
        </is>
      </c>
      <c r="G277" t="n">
        <v>14.8</v>
      </c>
      <c r="H277" t="n">
        <v>1</v>
      </c>
      <c r="I277" t="n">
        <v>0</v>
      </c>
      <c r="J277" t="n">
        <v>6</v>
      </c>
      <c r="K277" t="n">
        <v>2</v>
      </c>
      <c r="L277" t="n">
        <v>0</v>
      </c>
      <c r="M277" t="n">
        <v>0</v>
      </c>
      <c r="N277" t="n">
        <v>0</v>
      </c>
      <c r="O277" t="n">
        <v>8</v>
      </c>
      <c r="P277" t="n">
        <v>2</v>
      </c>
      <c r="Q277" t="n">
        <v>9</v>
      </c>
      <c r="R277" s="2" t="inlineStr">
        <is>
          <t>Liten sotlav
Ostticka
Garnlav
Granticka
Gränsticka
Harticka
Rosenticka
Ullticka
Tjäder</t>
        </is>
      </c>
      <c r="S277">
        <f>HYPERLINK("https://klasma.github.io/Logging_2422/artfynd/A 31799-2020 artfynd.xlsx", "A 31799-2020")</f>
        <v/>
      </c>
      <c r="T277">
        <f>HYPERLINK("https://klasma.github.io/Logging_2422/kartor/A 31799-2020 karta.png", "A 31799-2020")</f>
        <v/>
      </c>
      <c r="V277">
        <f>HYPERLINK("https://klasma.github.io/Logging_2422/klagomål/A 31799-2020 FSC-klagomål.docx", "A 31799-2020")</f>
        <v/>
      </c>
      <c r="W277">
        <f>HYPERLINK("https://klasma.github.io/Logging_2422/klagomålsmail/A 31799-2020 FSC-klagomål mail.docx", "A 31799-2020")</f>
        <v/>
      </c>
      <c r="X277">
        <f>HYPERLINK("https://klasma.github.io/Logging_2422/tillsyn/A 31799-2020 tillsynsbegäran.docx", "A 31799-2020")</f>
        <v/>
      </c>
      <c r="Y277">
        <f>HYPERLINK("https://klasma.github.io/Logging_2422/tillsynsmail/A 31799-2020 tillsynsbegäran mail.docx", "A 31799-2020")</f>
        <v/>
      </c>
      <c r="Z277">
        <f>HYPERLINK("https://klasma.github.io/Logging_2422/fåglar/A 31799-2020 prioriterade fågelarter.docx", "A 31799-2020")</f>
        <v/>
      </c>
    </row>
    <row r="278" ht="15" customHeight="1">
      <c r="A278" t="inlineStr">
        <is>
          <t>A 35492-2020</t>
        </is>
      </c>
      <c r="B278" s="1" t="n">
        <v>44042</v>
      </c>
      <c r="C278" s="1" t="n">
        <v>45788</v>
      </c>
      <c r="D278" t="inlineStr">
        <is>
          <t>VÄSTERBOTTENS LÄN</t>
        </is>
      </c>
      <c r="E278" t="inlineStr">
        <is>
          <t>VINDELN</t>
        </is>
      </c>
      <c r="F278" t="inlineStr">
        <is>
          <t>SCA</t>
        </is>
      </c>
      <c r="G278" t="n">
        <v>11.5</v>
      </c>
      <c r="H278" t="n">
        <v>0</v>
      </c>
      <c r="I278" t="n">
        <v>1</v>
      </c>
      <c r="J278" t="n">
        <v>5</v>
      </c>
      <c r="K278" t="n">
        <v>3</v>
      </c>
      <c r="L278" t="n">
        <v>0</v>
      </c>
      <c r="M278" t="n">
        <v>0</v>
      </c>
      <c r="N278" t="n">
        <v>0</v>
      </c>
      <c r="O278" t="n">
        <v>8</v>
      </c>
      <c r="P278" t="n">
        <v>3</v>
      </c>
      <c r="Q278" t="n">
        <v>9</v>
      </c>
      <c r="R278" s="2" t="inlineStr">
        <is>
          <t>Goliatmusseron
Jättemusseron
Tallgråticka
Blå taggsvamp
Motaggsvamp
Skrovlig taggsvamp
Tallriska
Talltaggsvamp
Skarp dropptaggsvamp</t>
        </is>
      </c>
      <c r="S278">
        <f>HYPERLINK("https://klasma.github.io/Logging_2404/artfynd/A 35492-2020 artfynd.xlsx", "A 35492-2020")</f>
        <v/>
      </c>
      <c r="T278">
        <f>HYPERLINK("https://klasma.github.io/Logging_2404/kartor/A 35492-2020 karta.png", "A 35492-2020")</f>
        <v/>
      </c>
      <c r="V278">
        <f>HYPERLINK("https://klasma.github.io/Logging_2404/klagomål/A 35492-2020 FSC-klagomål.docx", "A 35492-2020")</f>
        <v/>
      </c>
      <c r="W278">
        <f>HYPERLINK("https://klasma.github.io/Logging_2404/klagomålsmail/A 35492-2020 FSC-klagomål mail.docx", "A 35492-2020")</f>
        <v/>
      </c>
      <c r="X278">
        <f>HYPERLINK("https://klasma.github.io/Logging_2404/tillsyn/A 35492-2020 tillsynsbegäran.docx", "A 35492-2020")</f>
        <v/>
      </c>
      <c r="Y278">
        <f>HYPERLINK("https://klasma.github.io/Logging_2404/tillsynsmail/A 35492-2020 tillsynsbegäran mail.docx", "A 35492-2020")</f>
        <v/>
      </c>
    </row>
    <row r="279" ht="15" customHeight="1">
      <c r="A279" t="inlineStr">
        <is>
          <t>A 48705-2020</t>
        </is>
      </c>
      <c r="B279" s="1" t="n">
        <v>44103</v>
      </c>
      <c r="C279" s="1" t="n">
        <v>45788</v>
      </c>
      <c r="D279" t="inlineStr">
        <is>
          <t>VÄSTERBOTTENS LÄN</t>
        </is>
      </c>
      <c r="E279" t="inlineStr">
        <is>
          <t>LYCKSELE</t>
        </is>
      </c>
      <c r="F279" t="inlineStr">
        <is>
          <t>Sveaskog</t>
        </is>
      </c>
      <c r="G279" t="n">
        <v>16</v>
      </c>
      <c r="H279" t="n">
        <v>2</v>
      </c>
      <c r="I279" t="n">
        <v>3</v>
      </c>
      <c r="J279" t="n">
        <v>4</v>
      </c>
      <c r="K279" t="n">
        <v>1</v>
      </c>
      <c r="L279" t="n">
        <v>0</v>
      </c>
      <c r="M279" t="n">
        <v>0</v>
      </c>
      <c r="N279" t="n">
        <v>0</v>
      </c>
      <c r="O279" t="n">
        <v>5</v>
      </c>
      <c r="P279" t="n">
        <v>1</v>
      </c>
      <c r="Q279" t="n">
        <v>9</v>
      </c>
      <c r="R279" s="2" t="inlineStr">
        <is>
          <t>Rynkskinn
Garnlav
Granticka
Lunglav
Tretåig hackspett
Luddlav
Stor aspticka
Vedticka
Revlummer</t>
        </is>
      </c>
      <c r="S279">
        <f>HYPERLINK("https://klasma.github.io/Logging_2481/artfynd/A 48705-2020 artfynd.xlsx", "A 48705-2020")</f>
        <v/>
      </c>
      <c r="T279">
        <f>HYPERLINK("https://klasma.github.io/Logging_2481/kartor/A 48705-2020 karta.png", "A 48705-2020")</f>
        <v/>
      </c>
      <c r="V279">
        <f>HYPERLINK("https://klasma.github.io/Logging_2481/klagomål/A 48705-2020 FSC-klagomål.docx", "A 48705-2020")</f>
        <v/>
      </c>
      <c r="W279">
        <f>HYPERLINK("https://klasma.github.io/Logging_2481/klagomålsmail/A 48705-2020 FSC-klagomål mail.docx", "A 48705-2020")</f>
        <v/>
      </c>
      <c r="X279">
        <f>HYPERLINK("https://klasma.github.io/Logging_2481/tillsyn/A 48705-2020 tillsynsbegäran.docx", "A 48705-2020")</f>
        <v/>
      </c>
      <c r="Y279">
        <f>HYPERLINK("https://klasma.github.io/Logging_2481/tillsynsmail/A 48705-2020 tillsynsbegäran mail.docx", "A 48705-2020")</f>
        <v/>
      </c>
      <c r="Z279">
        <f>HYPERLINK("https://klasma.github.io/Logging_2481/fåglar/A 48705-2020 prioriterade fågelarter.docx", "A 48705-2020")</f>
        <v/>
      </c>
    </row>
    <row r="280" ht="15" customHeight="1">
      <c r="A280" t="inlineStr">
        <is>
          <t>A 172-2021</t>
        </is>
      </c>
      <c r="B280" s="1" t="n">
        <v>44199</v>
      </c>
      <c r="C280" s="1" t="n">
        <v>45788</v>
      </c>
      <c r="D280" t="inlineStr">
        <is>
          <t>VÄSTERBOTTENS LÄN</t>
        </is>
      </c>
      <c r="E280" t="inlineStr">
        <is>
          <t>VILHELMINA</t>
        </is>
      </c>
      <c r="G280" t="n">
        <v>16.6</v>
      </c>
      <c r="H280" t="n">
        <v>4</v>
      </c>
      <c r="I280" t="n">
        <v>0</v>
      </c>
      <c r="J280" t="n">
        <v>8</v>
      </c>
      <c r="K280" t="n">
        <v>0</v>
      </c>
      <c r="L280" t="n">
        <v>0</v>
      </c>
      <c r="M280" t="n">
        <v>0</v>
      </c>
      <c r="N280" t="n">
        <v>0</v>
      </c>
      <c r="O280" t="n">
        <v>8</v>
      </c>
      <c r="P280" t="n">
        <v>0</v>
      </c>
      <c r="Q280" t="n">
        <v>9</v>
      </c>
      <c r="R280" s="2" t="inlineStr">
        <is>
          <t>Gammelgransskål
Garnlav
Granticka
Höstlåsbräken
Talltita
Tretåig hackspett
Ullticka
Vitgrynig nållav
Orre</t>
        </is>
      </c>
      <c r="S280">
        <f>HYPERLINK("https://klasma.github.io/Logging_2462/artfynd/A 172-2021 artfynd.xlsx", "A 172-2021")</f>
        <v/>
      </c>
      <c r="T280">
        <f>HYPERLINK("https://klasma.github.io/Logging_2462/kartor/A 172-2021 karta.png", "A 172-2021")</f>
        <v/>
      </c>
      <c r="V280">
        <f>HYPERLINK("https://klasma.github.io/Logging_2462/klagomål/A 172-2021 FSC-klagomål.docx", "A 172-2021")</f>
        <v/>
      </c>
      <c r="W280">
        <f>HYPERLINK("https://klasma.github.io/Logging_2462/klagomålsmail/A 172-2021 FSC-klagomål mail.docx", "A 172-2021")</f>
        <v/>
      </c>
      <c r="X280">
        <f>HYPERLINK("https://klasma.github.io/Logging_2462/tillsyn/A 172-2021 tillsynsbegäran.docx", "A 172-2021")</f>
        <v/>
      </c>
      <c r="Y280">
        <f>HYPERLINK("https://klasma.github.io/Logging_2462/tillsynsmail/A 172-2021 tillsynsbegäran mail.docx", "A 172-2021")</f>
        <v/>
      </c>
      <c r="Z280">
        <f>HYPERLINK("https://klasma.github.io/Logging_2462/fåglar/A 172-2021 prioriterade fågelarter.docx", "A 172-2021")</f>
        <v/>
      </c>
    </row>
    <row r="281" ht="15" customHeight="1">
      <c r="A281" t="inlineStr">
        <is>
          <t>A 6207-2021</t>
        </is>
      </c>
      <c r="B281" s="1" t="n">
        <v>44232</v>
      </c>
      <c r="C281" s="1" t="n">
        <v>45788</v>
      </c>
      <c r="D281" t="inlineStr">
        <is>
          <t>VÄSTERBOTTENS LÄN</t>
        </is>
      </c>
      <c r="E281" t="inlineStr">
        <is>
          <t>STORUMAN</t>
        </is>
      </c>
      <c r="G281" t="n">
        <v>23</v>
      </c>
      <c r="H281" t="n">
        <v>2</v>
      </c>
      <c r="I281" t="n">
        <v>3</v>
      </c>
      <c r="J281" t="n">
        <v>3</v>
      </c>
      <c r="K281" t="n">
        <v>2</v>
      </c>
      <c r="L281" t="n">
        <v>0</v>
      </c>
      <c r="M281" t="n">
        <v>0</v>
      </c>
      <c r="N281" t="n">
        <v>0</v>
      </c>
      <c r="O281" t="n">
        <v>5</v>
      </c>
      <c r="P281" t="n">
        <v>2</v>
      </c>
      <c r="Q281" t="n">
        <v>9</v>
      </c>
      <c r="R281" s="2" t="inlineStr">
        <is>
          <t>Doftticka
Lappticka
Granticka
Skrovellav
Ullticka
Bårdlav
Skinnlav
Stuplav
Fläcknycklar</t>
        </is>
      </c>
      <c r="S281">
        <f>HYPERLINK("https://klasma.github.io/Logging_2421/artfynd/A 6207-2021 artfynd.xlsx", "A 6207-2021")</f>
        <v/>
      </c>
      <c r="T281">
        <f>HYPERLINK("https://klasma.github.io/Logging_2421/kartor/A 6207-2021 karta.png", "A 6207-2021")</f>
        <v/>
      </c>
      <c r="V281">
        <f>HYPERLINK("https://klasma.github.io/Logging_2421/klagomål/A 6207-2021 FSC-klagomål.docx", "A 6207-2021")</f>
        <v/>
      </c>
      <c r="W281">
        <f>HYPERLINK("https://klasma.github.io/Logging_2421/klagomålsmail/A 6207-2021 FSC-klagomål mail.docx", "A 6207-2021")</f>
        <v/>
      </c>
      <c r="X281">
        <f>HYPERLINK("https://klasma.github.io/Logging_2421/tillsyn/A 6207-2021 tillsynsbegäran.docx", "A 6207-2021")</f>
        <v/>
      </c>
      <c r="Y281">
        <f>HYPERLINK("https://klasma.github.io/Logging_2421/tillsynsmail/A 6207-2021 tillsynsbegäran mail.docx", "A 6207-2021")</f>
        <v/>
      </c>
    </row>
    <row r="282" ht="15" customHeight="1">
      <c r="A282" t="inlineStr">
        <is>
          <t>A 16152-2021</t>
        </is>
      </c>
      <c r="B282" s="1" t="n">
        <v>44287</v>
      </c>
      <c r="C282" s="1" t="n">
        <v>45788</v>
      </c>
      <c r="D282" t="inlineStr">
        <is>
          <t>VÄSTERBOTTENS LÄN</t>
        </is>
      </c>
      <c r="E282" t="inlineStr">
        <is>
          <t>SKELLEFTEÅ</t>
        </is>
      </c>
      <c r="G282" t="n">
        <v>3.4</v>
      </c>
      <c r="H282" t="n">
        <v>0</v>
      </c>
      <c r="I282" t="n">
        <v>3</v>
      </c>
      <c r="J282" t="n">
        <v>5</v>
      </c>
      <c r="K282" t="n">
        <v>1</v>
      </c>
      <c r="L282" t="n">
        <v>0</v>
      </c>
      <c r="M282" t="n">
        <v>0</v>
      </c>
      <c r="N282" t="n">
        <v>0</v>
      </c>
      <c r="O282" t="n">
        <v>6</v>
      </c>
      <c r="P282" t="n">
        <v>1</v>
      </c>
      <c r="Q282" t="n">
        <v>9</v>
      </c>
      <c r="R282" s="2" t="inlineStr">
        <is>
          <t>Goliatmusseron
Blå taggsvamp
Granticka
Orange taggsvamp
Svart taggsvamp
Talltaggsvamp
Dropptaggsvamp
Skarp dropptaggsvamp
Vedticka</t>
        </is>
      </c>
      <c r="S282">
        <f>HYPERLINK("https://klasma.github.io/Logging_2482/artfynd/A 16152-2021 artfynd.xlsx", "A 16152-2021")</f>
        <v/>
      </c>
      <c r="T282">
        <f>HYPERLINK("https://klasma.github.io/Logging_2482/kartor/A 16152-2021 karta.png", "A 16152-2021")</f>
        <v/>
      </c>
      <c r="V282">
        <f>HYPERLINK("https://klasma.github.io/Logging_2482/klagomål/A 16152-2021 FSC-klagomål.docx", "A 16152-2021")</f>
        <v/>
      </c>
      <c r="W282">
        <f>HYPERLINK("https://klasma.github.io/Logging_2482/klagomålsmail/A 16152-2021 FSC-klagomål mail.docx", "A 16152-2021")</f>
        <v/>
      </c>
      <c r="X282">
        <f>HYPERLINK("https://klasma.github.io/Logging_2482/tillsyn/A 16152-2021 tillsynsbegäran.docx", "A 16152-2021")</f>
        <v/>
      </c>
      <c r="Y282">
        <f>HYPERLINK("https://klasma.github.io/Logging_2482/tillsynsmail/A 16152-2021 tillsynsbegäran mail.docx", "A 16152-2021")</f>
        <v/>
      </c>
    </row>
    <row r="283" ht="15" customHeight="1">
      <c r="A283" t="inlineStr">
        <is>
          <t>A 39213-2021</t>
        </is>
      </c>
      <c r="B283" s="1" t="n">
        <v>44413</v>
      </c>
      <c r="C283" s="1" t="n">
        <v>45788</v>
      </c>
      <c r="D283" t="inlineStr">
        <is>
          <t>VÄSTERBOTTENS LÄN</t>
        </is>
      </c>
      <c r="E283" t="inlineStr">
        <is>
          <t>SKELLEFTEÅ</t>
        </is>
      </c>
      <c r="G283" t="n">
        <v>25</v>
      </c>
      <c r="H283" t="n">
        <v>1</v>
      </c>
      <c r="I283" t="n">
        <v>1</v>
      </c>
      <c r="J283" t="n">
        <v>8</v>
      </c>
      <c r="K283" t="n">
        <v>0</v>
      </c>
      <c r="L283" t="n">
        <v>0</v>
      </c>
      <c r="M283" t="n">
        <v>0</v>
      </c>
      <c r="N283" t="n">
        <v>0</v>
      </c>
      <c r="O283" t="n">
        <v>8</v>
      </c>
      <c r="P283" t="n">
        <v>0</v>
      </c>
      <c r="Q283" t="n">
        <v>9</v>
      </c>
      <c r="R283" s="2" t="inlineStr">
        <is>
          <t>Gammelgransskål
Garnlav
Granticka
Stjärntagging
Tallticka
Tretåig hackspett
Ullticka
Violettgrå tagellav
Vedticka</t>
        </is>
      </c>
      <c r="S283">
        <f>HYPERLINK("https://klasma.github.io/Logging_2482/artfynd/A 39213-2021 artfynd.xlsx", "A 39213-2021")</f>
        <v/>
      </c>
      <c r="T283">
        <f>HYPERLINK("https://klasma.github.io/Logging_2482/kartor/A 39213-2021 karta.png", "A 39213-2021")</f>
        <v/>
      </c>
      <c r="V283">
        <f>HYPERLINK("https://klasma.github.io/Logging_2482/klagomål/A 39213-2021 FSC-klagomål.docx", "A 39213-2021")</f>
        <v/>
      </c>
      <c r="W283">
        <f>HYPERLINK("https://klasma.github.io/Logging_2482/klagomålsmail/A 39213-2021 FSC-klagomål mail.docx", "A 39213-2021")</f>
        <v/>
      </c>
      <c r="X283">
        <f>HYPERLINK("https://klasma.github.io/Logging_2482/tillsyn/A 39213-2021 tillsynsbegäran.docx", "A 39213-2021")</f>
        <v/>
      </c>
      <c r="Y283">
        <f>HYPERLINK("https://klasma.github.io/Logging_2482/tillsynsmail/A 39213-2021 tillsynsbegäran mail.docx", "A 39213-2021")</f>
        <v/>
      </c>
      <c r="Z283">
        <f>HYPERLINK("https://klasma.github.io/Logging_2482/fåglar/A 39213-2021 prioriterade fågelarter.docx", "A 39213-2021")</f>
        <v/>
      </c>
    </row>
    <row r="284" ht="15" customHeight="1">
      <c r="A284" t="inlineStr">
        <is>
          <t>A 43734-2021</t>
        </is>
      </c>
      <c r="B284" s="1" t="n">
        <v>44433</v>
      </c>
      <c r="C284" s="1" t="n">
        <v>45788</v>
      </c>
      <c r="D284" t="inlineStr">
        <is>
          <t>VÄSTERBOTTENS LÄN</t>
        </is>
      </c>
      <c r="E284" t="inlineStr">
        <is>
          <t>LYCKSELE</t>
        </is>
      </c>
      <c r="F284" t="inlineStr">
        <is>
          <t>Sveaskog</t>
        </is>
      </c>
      <c r="G284" t="n">
        <v>5.5</v>
      </c>
      <c r="H284" t="n">
        <v>0</v>
      </c>
      <c r="I284" t="n">
        <v>3</v>
      </c>
      <c r="J284" t="n">
        <v>5</v>
      </c>
      <c r="K284" t="n">
        <v>1</v>
      </c>
      <c r="L284" t="n">
        <v>0</v>
      </c>
      <c r="M284" t="n">
        <v>0</v>
      </c>
      <c r="N284" t="n">
        <v>0</v>
      </c>
      <c r="O284" t="n">
        <v>6</v>
      </c>
      <c r="P284" t="n">
        <v>1</v>
      </c>
      <c r="Q284" t="n">
        <v>9</v>
      </c>
      <c r="R284" s="2" t="inlineStr">
        <is>
          <t>Smalfotad taggsvamp
Blå taggsvamp
Orange taggsvamp
Skrovlig taggsvamp
Vaddporing
Vedflamlav
Dropptaggsvamp
Skarp dropptaggsvamp
Vedticka</t>
        </is>
      </c>
      <c r="S284">
        <f>HYPERLINK("https://klasma.github.io/Logging_2481/artfynd/A 43734-2021 artfynd.xlsx", "A 43734-2021")</f>
        <v/>
      </c>
      <c r="T284">
        <f>HYPERLINK("https://klasma.github.io/Logging_2481/kartor/A 43734-2021 karta.png", "A 43734-2021")</f>
        <v/>
      </c>
      <c r="V284">
        <f>HYPERLINK("https://klasma.github.io/Logging_2481/klagomål/A 43734-2021 FSC-klagomål.docx", "A 43734-2021")</f>
        <v/>
      </c>
      <c r="W284">
        <f>HYPERLINK("https://klasma.github.io/Logging_2481/klagomålsmail/A 43734-2021 FSC-klagomål mail.docx", "A 43734-2021")</f>
        <v/>
      </c>
      <c r="X284">
        <f>HYPERLINK("https://klasma.github.io/Logging_2481/tillsyn/A 43734-2021 tillsynsbegäran.docx", "A 43734-2021")</f>
        <v/>
      </c>
      <c r="Y284">
        <f>HYPERLINK("https://klasma.github.io/Logging_2481/tillsynsmail/A 43734-2021 tillsynsbegäran mail.docx", "A 43734-2021")</f>
        <v/>
      </c>
    </row>
    <row r="285" ht="15" customHeight="1">
      <c r="A285" t="inlineStr">
        <is>
          <t>A 24709-2022</t>
        </is>
      </c>
      <c r="B285" s="1" t="n">
        <v>44727</v>
      </c>
      <c r="C285" s="1" t="n">
        <v>45788</v>
      </c>
      <c r="D285" t="inlineStr">
        <is>
          <t>VÄSTERBOTTENS LÄN</t>
        </is>
      </c>
      <c r="E285" t="inlineStr">
        <is>
          <t>STORUMAN</t>
        </is>
      </c>
      <c r="G285" t="n">
        <v>21</v>
      </c>
      <c r="H285" t="n">
        <v>1</v>
      </c>
      <c r="I285" t="n">
        <v>3</v>
      </c>
      <c r="J285" t="n">
        <v>5</v>
      </c>
      <c r="K285" t="n">
        <v>0</v>
      </c>
      <c r="L285" t="n">
        <v>0</v>
      </c>
      <c r="M285" t="n">
        <v>0</v>
      </c>
      <c r="N285" t="n">
        <v>0</v>
      </c>
      <c r="O285" t="n">
        <v>5</v>
      </c>
      <c r="P285" t="n">
        <v>0</v>
      </c>
      <c r="Q285" t="n">
        <v>9</v>
      </c>
      <c r="R285" s="2" t="inlineStr">
        <is>
          <t>Gammelgransskål
Garnlav
Granticka
Harticka
Skrovellav
Bårdlav
Luddlav
Stuplav
Lavskrika</t>
        </is>
      </c>
      <c r="S285">
        <f>HYPERLINK("https://klasma.github.io/Logging_2421/artfynd/A 24709-2022 artfynd.xlsx", "A 24709-2022")</f>
        <v/>
      </c>
      <c r="T285">
        <f>HYPERLINK("https://klasma.github.io/Logging_2421/kartor/A 24709-2022 karta.png", "A 24709-2022")</f>
        <v/>
      </c>
      <c r="V285">
        <f>HYPERLINK("https://klasma.github.io/Logging_2421/klagomål/A 24709-2022 FSC-klagomål.docx", "A 24709-2022")</f>
        <v/>
      </c>
      <c r="W285">
        <f>HYPERLINK("https://klasma.github.io/Logging_2421/klagomålsmail/A 24709-2022 FSC-klagomål mail.docx", "A 24709-2022")</f>
        <v/>
      </c>
      <c r="X285">
        <f>HYPERLINK("https://klasma.github.io/Logging_2421/tillsyn/A 24709-2022 tillsynsbegäran.docx", "A 24709-2022")</f>
        <v/>
      </c>
      <c r="Y285">
        <f>HYPERLINK("https://klasma.github.io/Logging_2421/tillsynsmail/A 24709-2022 tillsynsbegäran mail.docx", "A 24709-2022")</f>
        <v/>
      </c>
      <c r="Z285">
        <f>HYPERLINK("https://klasma.github.io/Logging_2421/fåglar/A 24709-2022 prioriterade fågelarter.docx", "A 24709-2022")</f>
        <v/>
      </c>
    </row>
    <row r="286" ht="15" customHeight="1">
      <c r="A286" t="inlineStr">
        <is>
          <t>A 35039-2022</t>
        </is>
      </c>
      <c r="B286" s="1" t="n">
        <v>44797</v>
      </c>
      <c r="C286" s="1" t="n">
        <v>45788</v>
      </c>
      <c r="D286" t="inlineStr">
        <is>
          <t>VÄSTERBOTTENS LÄN</t>
        </is>
      </c>
      <c r="E286" t="inlineStr">
        <is>
          <t>UMEÅ</t>
        </is>
      </c>
      <c r="F286" t="inlineStr">
        <is>
          <t>Kyrkan</t>
        </is>
      </c>
      <c r="G286" t="n">
        <v>12.3</v>
      </c>
      <c r="H286" t="n">
        <v>3</v>
      </c>
      <c r="I286" t="n">
        <v>2</v>
      </c>
      <c r="J286" t="n">
        <v>7</v>
      </c>
      <c r="K286" t="n">
        <v>0</v>
      </c>
      <c r="L286" t="n">
        <v>0</v>
      </c>
      <c r="M286" t="n">
        <v>0</v>
      </c>
      <c r="N286" t="n">
        <v>0</v>
      </c>
      <c r="O286" t="n">
        <v>7</v>
      </c>
      <c r="P286" t="n">
        <v>0</v>
      </c>
      <c r="Q286" t="n">
        <v>9</v>
      </c>
      <c r="R286" s="2" t="inlineStr">
        <is>
          <t>Garnlav
Granticka
Spillkråka
Tallticka
Talltita
Tretåig hackspett
Ullticka
Vedticka
Vågbandad barkbock</t>
        </is>
      </c>
      <c r="S286">
        <f>HYPERLINK("https://klasma.github.io/Logging_2480/artfynd/A 35039-2022 artfynd.xlsx", "A 35039-2022")</f>
        <v/>
      </c>
      <c r="T286">
        <f>HYPERLINK("https://klasma.github.io/Logging_2480/kartor/A 35039-2022 karta.png", "A 35039-2022")</f>
        <v/>
      </c>
      <c r="V286">
        <f>HYPERLINK("https://klasma.github.io/Logging_2480/klagomål/A 35039-2022 FSC-klagomål.docx", "A 35039-2022")</f>
        <v/>
      </c>
      <c r="W286">
        <f>HYPERLINK("https://klasma.github.io/Logging_2480/klagomålsmail/A 35039-2022 FSC-klagomål mail.docx", "A 35039-2022")</f>
        <v/>
      </c>
      <c r="X286">
        <f>HYPERLINK("https://klasma.github.io/Logging_2480/tillsyn/A 35039-2022 tillsynsbegäran.docx", "A 35039-2022")</f>
        <v/>
      </c>
      <c r="Y286">
        <f>HYPERLINK("https://klasma.github.io/Logging_2480/tillsynsmail/A 35039-2022 tillsynsbegäran mail.docx", "A 35039-2022")</f>
        <v/>
      </c>
      <c r="Z286">
        <f>HYPERLINK("https://klasma.github.io/Logging_2480/fåglar/A 35039-2022 prioriterade fågelarter.docx", "A 35039-2022")</f>
        <v/>
      </c>
    </row>
    <row r="287" ht="15" customHeight="1">
      <c r="A287" t="inlineStr">
        <is>
          <t>A 51198-2022</t>
        </is>
      </c>
      <c r="B287" s="1" t="n">
        <v>44868</v>
      </c>
      <c r="C287" s="1" t="n">
        <v>45788</v>
      </c>
      <c r="D287" t="inlineStr">
        <is>
          <t>VÄSTERBOTTENS LÄN</t>
        </is>
      </c>
      <c r="E287" t="inlineStr">
        <is>
          <t>UMEÅ</t>
        </is>
      </c>
      <c r="G287" t="n">
        <v>3.3</v>
      </c>
      <c r="H287" t="n">
        <v>0</v>
      </c>
      <c r="I287" t="n">
        <v>3</v>
      </c>
      <c r="J287" t="n">
        <v>6</v>
      </c>
      <c r="K287" t="n">
        <v>0</v>
      </c>
      <c r="L287" t="n">
        <v>0</v>
      </c>
      <c r="M287" t="n">
        <v>0</v>
      </c>
      <c r="N287" t="n">
        <v>0</v>
      </c>
      <c r="O287" t="n">
        <v>6</v>
      </c>
      <c r="P287" t="n">
        <v>0</v>
      </c>
      <c r="Q287" t="n">
        <v>9</v>
      </c>
      <c r="R287" s="2" t="inlineStr">
        <is>
          <t>Blå taggsvamp
Garnlav
Motaggsvamp
Orange taggsvamp
Skrovlig taggsvamp
Violettgrå tagellav
Dropptaggsvamp
Skarp dropptaggsvamp
Zontaggsvamp</t>
        </is>
      </c>
      <c r="S287">
        <f>HYPERLINK("https://klasma.github.io/Logging_2480/artfynd/A 51198-2022 artfynd.xlsx", "A 51198-2022")</f>
        <v/>
      </c>
      <c r="T287">
        <f>HYPERLINK("https://klasma.github.io/Logging_2480/kartor/A 51198-2022 karta.png", "A 51198-2022")</f>
        <v/>
      </c>
      <c r="V287">
        <f>HYPERLINK("https://klasma.github.io/Logging_2480/klagomål/A 51198-2022 FSC-klagomål.docx", "A 51198-2022")</f>
        <v/>
      </c>
      <c r="W287">
        <f>HYPERLINK("https://klasma.github.io/Logging_2480/klagomålsmail/A 51198-2022 FSC-klagomål mail.docx", "A 51198-2022")</f>
        <v/>
      </c>
      <c r="X287">
        <f>HYPERLINK("https://klasma.github.io/Logging_2480/tillsyn/A 51198-2022 tillsynsbegäran.docx", "A 51198-2022")</f>
        <v/>
      </c>
      <c r="Y287">
        <f>HYPERLINK("https://klasma.github.io/Logging_2480/tillsynsmail/A 51198-2022 tillsynsbegäran mail.docx", "A 51198-2022")</f>
        <v/>
      </c>
    </row>
    <row r="288" ht="15" customHeight="1">
      <c r="A288" t="inlineStr">
        <is>
          <t>A 1602-2023</t>
        </is>
      </c>
      <c r="B288" s="1" t="n">
        <v>44935</v>
      </c>
      <c r="C288" s="1" t="n">
        <v>45788</v>
      </c>
      <c r="D288" t="inlineStr">
        <is>
          <t>VÄSTERBOTTENS LÄN</t>
        </is>
      </c>
      <c r="E288" t="inlineStr">
        <is>
          <t>SKELLEFTEÅ</t>
        </is>
      </c>
      <c r="G288" t="n">
        <v>12.6</v>
      </c>
      <c r="H288" t="n">
        <v>3</v>
      </c>
      <c r="I288" t="n">
        <v>1</v>
      </c>
      <c r="J288" t="n">
        <v>7</v>
      </c>
      <c r="K288" t="n">
        <v>1</v>
      </c>
      <c r="L288" t="n">
        <v>0</v>
      </c>
      <c r="M288" t="n">
        <v>0</v>
      </c>
      <c r="N288" t="n">
        <v>0</v>
      </c>
      <c r="O288" t="n">
        <v>8</v>
      </c>
      <c r="P288" t="n">
        <v>1</v>
      </c>
      <c r="Q288" t="n">
        <v>9</v>
      </c>
      <c r="R288" s="2" t="inlineStr">
        <is>
          <t>Knärot
Gammelgransskål
Garnlav
Granticka
Spillkråka
Tretåig hackspett
Ullticka
Violettgrå tagellav
Vedticka</t>
        </is>
      </c>
      <c r="S288">
        <f>HYPERLINK("https://klasma.github.io/Logging_2482/artfynd/A 1602-2023 artfynd.xlsx", "A 1602-2023")</f>
        <v/>
      </c>
      <c r="T288">
        <f>HYPERLINK("https://klasma.github.io/Logging_2482/kartor/A 1602-2023 karta.png", "A 1602-2023")</f>
        <v/>
      </c>
      <c r="U288">
        <f>HYPERLINK("https://klasma.github.io/Logging_2482/knärot/A 1602-2023 karta knärot.png", "A 1602-2023")</f>
        <v/>
      </c>
      <c r="V288">
        <f>HYPERLINK("https://klasma.github.io/Logging_2482/klagomål/A 1602-2023 FSC-klagomål.docx", "A 1602-2023")</f>
        <v/>
      </c>
      <c r="W288">
        <f>HYPERLINK("https://klasma.github.io/Logging_2482/klagomålsmail/A 1602-2023 FSC-klagomål mail.docx", "A 1602-2023")</f>
        <v/>
      </c>
      <c r="X288">
        <f>HYPERLINK("https://klasma.github.io/Logging_2482/tillsyn/A 1602-2023 tillsynsbegäran.docx", "A 1602-2023")</f>
        <v/>
      </c>
      <c r="Y288">
        <f>HYPERLINK("https://klasma.github.io/Logging_2482/tillsynsmail/A 1602-2023 tillsynsbegäran mail.docx", "A 1602-2023")</f>
        <v/>
      </c>
      <c r="Z288">
        <f>HYPERLINK("https://klasma.github.io/Logging_2482/fåglar/A 1602-2023 prioriterade fågelarter.docx", "A 1602-2023")</f>
        <v/>
      </c>
    </row>
    <row r="289" ht="15" customHeight="1">
      <c r="A289" t="inlineStr">
        <is>
          <t>A 8708-2023</t>
        </is>
      </c>
      <c r="B289" s="1" t="n">
        <v>44973</v>
      </c>
      <c r="C289" s="1" t="n">
        <v>45788</v>
      </c>
      <c r="D289" t="inlineStr">
        <is>
          <t>VÄSTERBOTTENS LÄN</t>
        </is>
      </c>
      <c r="E289" t="inlineStr">
        <is>
          <t>UMEÅ</t>
        </is>
      </c>
      <c r="G289" t="n">
        <v>8.4</v>
      </c>
      <c r="H289" t="n">
        <v>0</v>
      </c>
      <c r="I289" t="n">
        <v>2</v>
      </c>
      <c r="J289" t="n">
        <v>6</v>
      </c>
      <c r="K289" t="n">
        <v>1</v>
      </c>
      <c r="L289" t="n">
        <v>0</v>
      </c>
      <c r="M289" t="n">
        <v>0</v>
      </c>
      <c r="N289" t="n">
        <v>0</v>
      </c>
      <c r="O289" t="n">
        <v>7</v>
      </c>
      <c r="P289" t="n">
        <v>1</v>
      </c>
      <c r="Q289" t="n">
        <v>9</v>
      </c>
      <c r="R289" s="2" t="inlineStr">
        <is>
          <t>Aspgelélav
Garnlav
Granticka
Gränsticka
Lunglav
Nordtagging
Violettgrå tagellav
Skinnlav
Vedticka</t>
        </is>
      </c>
      <c r="S289">
        <f>HYPERLINK("https://klasma.github.io/Logging_2480/artfynd/A 8708-2023 artfynd.xlsx", "A 8708-2023")</f>
        <v/>
      </c>
      <c r="T289">
        <f>HYPERLINK("https://klasma.github.io/Logging_2480/kartor/A 8708-2023 karta.png", "A 8708-2023")</f>
        <v/>
      </c>
      <c r="V289">
        <f>HYPERLINK("https://klasma.github.io/Logging_2480/klagomål/A 8708-2023 FSC-klagomål.docx", "A 8708-2023")</f>
        <v/>
      </c>
      <c r="W289">
        <f>HYPERLINK("https://klasma.github.io/Logging_2480/klagomålsmail/A 8708-2023 FSC-klagomål mail.docx", "A 8708-2023")</f>
        <v/>
      </c>
      <c r="X289">
        <f>HYPERLINK("https://klasma.github.io/Logging_2480/tillsyn/A 8708-2023 tillsynsbegäran.docx", "A 8708-2023")</f>
        <v/>
      </c>
      <c r="Y289">
        <f>HYPERLINK("https://klasma.github.io/Logging_2480/tillsynsmail/A 8708-2023 tillsynsbegäran mail.docx", "A 8708-2023")</f>
        <v/>
      </c>
    </row>
    <row r="290" ht="15" customHeight="1">
      <c r="A290" t="inlineStr">
        <is>
          <t>A 17660-2023</t>
        </is>
      </c>
      <c r="B290" s="1" t="n">
        <v>45036</v>
      </c>
      <c r="C290" s="1" t="n">
        <v>45788</v>
      </c>
      <c r="D290" t="inlineStr">
        <is>
          <t>VÄSTERBOTTENS LÄN</t>
        </is>
      </c>
      <c r="E290" t="inlineStr">
        <is>
          <t>SKELLEFTEÅ</t>
        </is>
      </c>
      <c r="G290" t="n">
        <v>3.8</v>
      </c>
      <c r="H290" t="n">
        <v>0</v>
      </c>
      <c r="I290" t="n">
        <v>2</v>
      </c>
      <c r="J290" t="n">
        <v>5</v>
      </c>
      <c r="K290" t="n">
        <v>2</v>
      </c>
      <c r="L290" t="n">
        <v>0</v>
      </c>
      <c r="M290" t="n">
        <v>0</v>
      </c>
      <c r="N290" t="n">
        <v>0</v>
      </c>
      <c r="O290" t="n">
        <v>7</v>
      </c>
      <c r="P290" t="n">
        <v>2</v>
      </c>
      <c r="Q290" t="n">
        <v>9</v>
      </c>
      <c r="R290" s="2" t="inlineStr">
        <is>
          <t>Goliatmusseron
Smalfotad taggsvamp
Blå taggsvamp
Orange taggsvamp
Svart taggsvamp
Svartvit taggsvamp
Talltaggsvamp
Dropptaggsvamp
Skarp dropptaggsvamp</t>
        </is>
      </c>
      <c r="S290">
        <f>HYPERLINK("https://klasma.github.io/Logging_2482/artfynd/A 17660-2023 artfynd.xlsx", "A 17660-2023")</f>
        <v/>
      </c>
      <c r="T290">
        <f>HYPERLINK("https://klasma.github.io/Logging_2482/kartor/A 17660-2023 karta.png", "A 17660-2023")</f>
        <v/>
      </c>
      <c r="V290">
        <f>HYPERLINK("https://klasma.github.io/Logging_2482/klagomål/A 17660-2023 FSC-klagomål.docx", "A 17660-2023")</f>
        <v/>
      </c>
      <c r="W290">
        <f>HYPERLINK("https://klasma.github.io/Logging_2482/klagomålsmail/A 17660-2023 FSC-klagomål mail.docx", "A 17660-2023")</f>
        <v/>
      </c>
      <c r="X290">
        <f>HYPERLINK("https://klasma.github.io/Logging_2482/tillsyn/A 17660-2023 tillsynsbegäran.docx", "A 17660-2023")</f>
        <v/>
      </c>
      <c r="Y290">
        <f>HYPERLINK("https://klasma.github.io/Logging_2482/tillsynsmail/A 17660-2023 tillsynsbegäran mail.docx", "A 17660-2023")</f>
        <v/>
      </c>
    </row>
    <row r="291" ht="15" customHeight="1">
      <c r="A291" t="inlineStr">
        <is>
          <t>A 38157-2023</t>
        </is>
      </c>
      <c r="B291" s="1" t="n">
        <v>45161</v>
      </c>
      <c r="C291" s="1" t="n">
        <v>45788</v>
      </c>
      <c r="D291" t="inlineStr">
        <is>
          <t>VÄSTERBOTTENS LÄN</t>
        </is>
      </c>
      <c r="E291" t="inlineStr">
        <is>
          <t>LYCKSELE</t>
        </is>
      </c>
      <c r="G291" t="n">
        <v>6.4</v>
      </c>
      <c r="H291" t="n">
        <v>4</v>
      </c>
      <c r="I291" t="n">
        <v>1</v>
      </c>
      <c r="J291" t="n">
        <v>7</v>
      </c>
      <c r="K291" t="n">
        <v>1</v>
      </c>
      <c r="L291" t="n">
        <v>0</v>
      </c>
      <c r="M291" t="n">
        <v>0</v>
      </c>
      <c r="N291" t="n">
        <v>0</v>
      </c>
      <c r="O291" t="n">
        <v>8</v>
      </c>
      <c r="P291" t="n">
        <v>1</v>
      </c>
      <c r="Q291" t="n">
        <v>9</v>
      </c>
      <c r="R291" s="2" t="inlineStr">
        <is>
          <t>Laxporing
Garnlav
Granticka
Spillkråka
Talltita
Tretåig hackspett
Ullticka
Videsparv
Vedticka</t>
        </is>
      </c>
      <c r="S291">
        <f>HYPERLINK("https://klasma.github.io/Logging_2481/artfynd/A 38157-2023 artfynd.xlsx", "A 38157-2023")</f>
        <v/>
      </c>
      <c r="T291">
        <f>HYPERLINK("https://klasma.github.io/Logging_2481/kartor/A 38157-2023 karta.png", "A 38157-2023")</f>
        <v/>
      </c>
      <c r="V291">
        <f>HYPERLINK("https://klasma.github.io/Logging_2481/klagomål/A 38157-2023 FSC-klagomål.docx", "A 38157-2023")</f>
        <v/>
      </c>
      <c r="W291">
        <f>HYPERLINK("https://klasma.github.io/Logging_2481/klagomålsmail/A 38157-2023 FSC-klagomål mail.docx", "A 38157-2023")</f>
        <v/>
      </c>
      <c r="X291">
        <f>HYPERLINK("https://klasma.github.io/Logging_2481/tillsyn/A 38157-2023 tillsynsbegäran.docx", "A 38157-2023")</f>
        <v/>
      </c>
      <c r="Y291">
        <f>HYPERLINK("https://klasma.github.io/Logging_2481/tillsynsmail/A 38157-2023 tillsynsbegäran mail.docx", "A 38157-2023")</f>
        <v/>
      </c>
      <c r="Z291">
        <f>HYPERLINK("https://klasma.github.io/Logging_2481/fåglar/A 38157-2023 prioriterade fågelarter.docx", "A 38157-2023")</f>
        <v/>
      </c>
    </row>
    <row r="292" ht="15" customHeight="1">
      <c r="A292" t="inlineStr">
        <is>
          <t>A 1828-2024</t>
        </is>
      </c>
      <c r="B292" s="1" t="n">
        <v>45307</v>
      </c>
      <c r="C292" s="1" t="n">
        <v>45788</v>
      </c>
      <c r="D292" t="inlineStr">
        <is>
          <t>VÄSTERBOTTENS LÄN</t>
        </is>
      </c>
      <c r="E292" t="inlineStr">
        <is>
          <t>LYCKSELE</t>
        </is>
      </c>
      <c r="F292" t="inlineStr">
        <is>
          <t>Sveaskog</t>
        </is>
      </c>
      <c r="G292" t="n">
        <v>20</v>
      </c>
      <c r="H292" t="n">
        <v>0</v>
      </c>
      <c r="I292" t="n">
        <v>0</v>
      </c>
      <c r="J292" t="n">
        <v>6</v>
      </c>
      <c r="K292" t="n">
        <v>3</v>
      </c>
      <c r="L292" t="n">
        <v>0</v>
      </c>
      <c r="M292" t="n">
        <v>0</v>
      </c>
      <c r="N292" t="n">
        <v>0</v>
      </c>
      <c r="O292" t="n">
        <v>9</v>
      </c>
      <c r="P292" t="n">
        <v>3</v>
      </c>
      <c r="Q292" t="n">
        <v>9</v>
      </c>
      <c r="R292" s="2" t="inlineStr">
        <is>
          <t>Spadskinn
Tallmusseron
Torrmusseron
Blå taggsvamp
Dvärgbägarlav
Skrovlig taggsvamp
Svartvit taggsvamp
Tallriska
Vaddporing</t>
        </is>
      </c>
      <c r="S292">
        <f>HYPERLINK("https://klasma.github.io/Logging_2481/artfynd/A 1828-2024 artfynd.xlsx", "A 1828-2024")</f>
        <v/>
      </c>
      <c r="T292">
        <f>HYPERLINK("https://klasma.github.io/Logging_2481/kartor/A 1828-2024 karta.png", "A 1828-2024")</f>
        <v/>
      </c>
      <c r="V292">
        <f>HYPERLINK("https://klasma.github.io/Logging_2481/klagomål/A 1828-2024 FSC-klagomål.docx", "A 1828-2024")</f>
        <v/>
      </c>
      <c r="W292">
        <f>HYPERLINK("https://klasma.github.io/Logging_2481/klagomålsmail/A 1828-2024 FSC-klagomål mail.docx", "A 1828-2024")</f>
        <v/>
      </c>
      <c r="X292">
        <f>HYPERLINK("https://klasma.github.io/Logging_2481/tillsyn/A 1828-2024 tillsynsbegäran.docx", "A 1828-2024")</f>
        <v/>
      </c>
      <c r="Y292">
        <f>HYPERLINK("https://klasma.github.io/Logging_2481/tillsynsmail/A 1828-2024 tillsynsbegäran mail.docx", "A 1828-2024")</f>
        <v/>
      </c>
    </row>
    <row r="293" ht="15" customHeight="1">
      <c r="A293" t="inlineStr">
        <is>
          <t>A 2054-2024</t>
        </is>
      </c>
      <c r="B293" s="1" t="n">
        <v>45308</v>
      </c>
      <c r="C293" s="1" t="n">
        <v>45788</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2054-2024 artfynd.xlsx", "A 2054-2024")</f>
        <v/>
      </c>
      <c r="T293">
        <f>HYPERLINK("https://klasma.github.io/Logging_2482/kartor/A 2054-2024 karta.png", "A 2054-2024")</f>
        <v/>
      </c>
      <c r="V293">
        <f>HYPERLINK("https://klasma.github.io/Logging_2482/klagomål/A 2054-2024 FSC-klagomål.docx", "A 2054-2024")</f>
        <v/>
      </c>
      <c r="W293">
        <f>HYPERLINK("https://klasma.github.io/Logging_2482/klagomålsmail/A 2054-2024 FSC-klagomål mail.docx", "A 2054-2024")</f>
        <v/>
      </c>
      <c r="X293">
        <f>HYPERLINK("https://klasma.github.io/Logging_2482/tillsyn/A 2054-2024 tillsynsbegäran.docx", "A 2054-2024")</f>
        <v/>
      </c>
      <c r="Y293">
        <f>HYPERLINK("https://klasma.github.io/Logging_2482/tillsynsmail/A 2054-2024 tillsynsbegäran mail.docx", "A 2054-2024")</f>
        <v/>
      </c>
    </row>
    <row r="294" ht="15" customHeight="1">
      <c r="A294" t="inlineStr">
        <is>
          <t>A 2607-2024</t>
        </is>
      </c>
      <c r="B294" s="1" t="n">
        <v>45313</v>
      </c>
      <c r="C294" s="1" t="n">
        <v>45788</v>
      </c>
      <c r="D294" t="inlineStr">
        <is>
          <t>VÄSTERBOTTENS LÄN</t>
        </is>
      </c>
      <c r="E294" t="inlineStr">
        <is>
          <t>ÅSELE</t>
        </is>
      </c>
      <c r="F294" t="inlineStr">
        <is>
          <t>Övriga Aktiebolag</t>
        </is>
      </c>
      <c r="G294" t="n">
        <v>14.9</v>
      </c>
      <c r="H294" t="n">
        <v>4</v>
      </c>
      <c r="I294" t="n">
        <v>1</v>
      </c>
      <c r="J294" t="n">
        <v>7</v>
      </c>
      <c r="K294" t="n">
        <v>1</v>
      </c>
      <c r="L294" t="n">
        <v>0</v>
      </c>
      <c r="M294" t="n">
        <v>0</v>
      </c>
      <c r="N294" t="n">
        <v>0</v>
      </c>
      <c r="O294" t="n">
        <v>8</v>
      </c>
      <c r="P294" t="n">
        <v>1</v>
      </c>
      <c r="Q294" t="n">
        <v>9</v>
      </c>
      <c r="R294" s="2" t="inlineStr">
        <is>
          <t>Rynkskinn
Björktrast
Fiskmås
Gränsticka
Järpe
Lunglav
Rosenticka
Videsparv
Stuplav</t>
        </is>
      </c>
      <c r="S294">
        <f>HYPERLINK("https://klasma.github.io/Logging_2463/artfynd/A 2607-2024 artfynd.xlsx", "A 2607-2024")</f>
        <v/>
      </c>
      <c r="T294">
        <f>HYPERLINK("https://klasma.github.io/Logging_2463/kartor/A 2607-2024 karta.png", "A 2607-2024")</f>
        <v/>
      </c>
      <c r="V294">
        <f>HYPERLINK("https://klasma.github.io/Logging_2463/klagomål/A 2607-2024 FSC-klagomål.docx", "A 2607-2024")</f>
        <v/>
      </c>
      <c r="W294">
        <f>HYPERLINK("https://klasma.github.io/Logging_2463/klagomålsmail/A 2607-2024 FSC-klagomål mail.docx", "A 2607-2024")</f>
        <v/>
      </c>
      <c r="X294">
        <f>HYPERLINK("https://klasma.github.io/Logging_2463/tillsyn/A 2607-2024 tillsynsbegäran.docx", "A 2607-2024")</f>
        <v/>
      </c>
      <c r="Y294">
        <f>HYPERLINK("https://klasma.github.io/Logging_2463/tillsynsmail/A 2607-2024 tillsynsbegäran mail.docx", "A 2607-2024")</f>
        <v/>
      </c>
      <c r="Z294">
        <f>HYPERLINK("https://klasma.github.io/Logging_2463/fåglar/A 2607-2024 prioriterade fågelarter.docx", "A 2607-2024")</f>
        <v/>
      </c>
    </row>
    <row r="295" ht="15" customHeight="1">
      <c r="A295" t="inlineStr">
        <is>
          <t>A 28882-2024</t>
        </is>
      </c>
      <c r="B295" s="1" t="n">
        <v>45479</v>
      </c>
      <c r="C295" s="1" t="n">
        <v>45788</v>
      </c>
      <c r="D295" t="inlineStr">
        <is>
          <t>VÄSTERBOTTENS LÄN</t>
        </is>
      </c>
      <c r="E295" t="inlineStr">
        <is>
          <t>ÅSELE</t>
        </is>
      </c>
      <c r="G295" t="n">
        <v>12.8</v>
      </c>
      <c r="H295" t="n">
        <v>0</v>
      </c>
      <c r="I295" t="n">
        <v>0</v>
      </c>
      <c r="J295" t="n">
        <v>8</v>
      </c>
      <c r="K295" t="n">
        <v>1</v>
      </c>
      <c r="L295" t="n">
        <v>0</v>
      </c>
      <c r="M295" t="n">
        <v>0</v>
      </c>
      <c r="N295" t="n">
        <v>0</v>
      </c>
      <c r="O295" t="n">
        <v>9</v>
      </c>
      <c r="P295" t="n">
        <v>1</v>
      </c>
      <c r="Q295" t="n">
        <v>9</v>
      </c>
      <c r="R295" s="2" t="inlineStr">
        <is>
          <t>Gräddporing
Gammelgransskål
Garnlav
Granticka
Knottrig blåslav
Kolflarnlav
Lunglav
Tallticka
Vitskaftad svartspik</t>
        </is>
      </c>
      <c r="S295">
        <f>HYPERLINK("https://klasma.github.io/Logging_2463/artfynd/A 28882-2024 artfynd.xlsx", "A 28882-2024")</f>
        <v/>
      </c>
      <c r="T295">
        <f>HYPERLINK("https://klasma.github.io/Logging_2463/kartor/A 28882-2024 karta.png", "A 28882-2024")</f>
        <v/>
      </c>
      <c r="V295">
        <f>HYPERLINK("https://klasma.github.io/Logging_2463/klagomål/A 28882-2024 FSC-klagomål.docx", "A 28882-2024")</f>
        <v/>
      </c>
      <c r="W295">
        <f>HYPERLINK("https://klasma.github.io/Logging_2463/klagomålsmail/A 28882-2024 FSC-klagomål mail.docx", "A 28882-2024")</f>
        <v/>
      </c>
      <c r="X295">
        <f>HYPERLINK("https://klasma.github.io/Logging_2463/tillsyn/A 28882-2024 tillsynsbegäran.docx", "A 28882-2024")</f>
        <v/>
      </c>
      <c r="Y295">
        <f>HYPERLINK("https://klasma.github.io/Logging_2463/tillsynsmail/A 28882-2024 tillsynsbegäran mail.docx", "A 28882-2024")</f>
        <v/>
      </c>
    </row>
    <row r="296" ht="15" customHeight="1">
      <c r="A296" t="inlineStr">
        <is>
          <t>A 31416-2024</t>
        </is>
      </c>
      <c r="B296" s="1" t="n">
        <v>45505</v>
      </c>
      <c r="C296" s="1" t="n">
        <v>45788</v>
      </c>
      <c r="D296" t="inlineStr">
        <is>
          <t>VÄSTERBOTTENS LÄN</t>
        </is>
      </c>
      <c r="E296" t="inlineStr">
        <is>
          <t>UMEÅ</t>
        </is>
      </c>
      <c r="F296" t="inlineStr">
        <is>
          <t>Holmen skog AB</t>
        </is>
      </c>
      <c r="G296" t="n">
        <v>25.7</v>
      </c>
      <c r="H296" t="n">
        <v>1</v>
      </c>
      <c r="I296" t="n">
        <v>2</v>
      </c>
      <c r="J296" t="n">
        <v>7</v>
      </c>
      <c r="K296" t="n">
        <v>0</v>
      </c>
      <c r="L296" t="n">
        <v>0</v>
      </c>
      <c r="M296" t="n">
        <v>0</v>
      </c>
      <c r="N296" t="n">
        <v>0</v>
      </c>
      <c r="O296" t="n">
        <v>7</v>
      </c>
      <c r="P296" t="n">
        <v>0</v>
      </c>
      <c r="Q296" t="n">
        <v>9</v>
      </c>
      <c r="R296" s="2" t="inlineStr">
        <is>
          <t>Garnlav
Granticka
Harticka
Orange taggsvamp
Spillkråka
Stjärntagging
Ullticka
Stuplav
Vedticka</t>
        </is>
      </c>
      <c r="S296">
        <f>HYPERLINK("https://klasma.github.io/Logging_2480/artfynd/A 31416-2024 artfynd.xlsx", "A 31416-2024")</f>
        <v/>
      </c>
      <c r="T296">
        <f>HYPERLINK("https://klasma.github.io/Logging_2480/kartor/A 31416-2024 karta.png", "A 31416-2024")</f>
        <v/>
      </c>
      <c r="V296">
        <f>HYPERLINK("https://klasma.github.io/Logging_2480/klagomål/A 31416-2024 FSC-klagomål.docx", "A 31416-2024")</f>
        <v/>
      </c>
      <c r="W296">
        <f>HYPERLINK("https://klasma.github.io/Logging_2480/klagomålsmail/A 31416-2024 FSC-klagomål mail.docx", "A 31416-2024")</f>
        <v/>
      </c>
      <c r="X296">
        <f>HYPERLINK("https://klasma.github.io/Logging_2480/tillsyn/A 31416-2024 tillsynsbegäran.docx", "A 31416-2024")</f>
        <v/>
      </c>
      <c r="Y296">
        <f>HYPERLINK("https://klasma.github.io/Logging_2480/tillsynsmail/A 31416-2024 tillsynsbegäran mail.docx", "A 31416-2024")</f>
        <v/>
      </c>
      <c r="Z296">
        <f>HYPERLINK("https://klasma.github.io/Logging_2480/fåglar/A 31416-2024 prioriterade fågelarter.docx", "A 31416-2024")</f>
        <v/>
      </c>
    </row>
    <row r="297" ht="15" customHeight="1">
      <c r="A297" t="inlineStr">
        <is>
          <t>A 31884-2024</t>
        </is>
      </c>
      <c r="B297" s="1" t="n">
        <v>45510</v>
      </c>
      <c r="C297" s="1" t="n">
        <v>45788</v>
      </c>
      <c r="D297" t="inlineStr">
        <is>
          <t>VÄSTERBOTTENS LÄN</t>
        </is>
      </c>
      <c r="E297" t="inlineStr">
        <is>
          <t>VILHELMINA</t>
        </is>
      </c>
      <c r="F297" t="inlineStr">
        <is>
          <t>SCA</t>
        </is>
      </c>
      <c r="G297" t="n">
        <v>1.6</v>
      </c>
      <c r="H297" t="n">
        <v>2</v>
      </c>
      <c r="I297" t="n">
        <v>2</v>
      </c>
      <c r="J297" t="n">
        <v>7</v>
      </c>
      <c r="K297" t="n">
        <v>0</v>
      </c>
      <c r="L297" t="n">
        <v>0</v>
      </c>
      <c r="M297" t="n">
        <v>0</v>
      </c>
      <c r="N297" t="n">
        <v>0</v>
      </c>
      <c r="O297" t="n">
        <v>7</v>
      </c>
      <c r="P297" t="n">
        <v>0</v>
      </c>
      <c r="Q297" t="n">
        <v>9</v>
      </c>
      <c r="R297" s="2" t="inlineStr">
        <is>
          <t>Garnlav
Granticka
Kolflarnlav
Oljetagging
Skogshare
Spillkråka
Ullticka
Korallblylav
Spindelblomster</t>
        </is>
      </c>
      <c r="S297">
        <f>HYPERLINK("https://klasma.github.io/Logging_2462/artfynd/A 31884-2024 artfynd.xlsx", "A 31884-2024")</f>
        <v/>
      </c>
      <c r="T297">
        <f>HYPERLINK("https://klasma.github.io/Logging_2462/kartor/A 31884-2024 karta.png", "A 31884-2024")</f>
        <v/>
      </c>
      <c r="V297">
        <f>HYPERLINK("https://klasma.github.io/Logging_2462/klagomål/A 31884-2024 FSC-klagomål.docx", "A 31884-2024")</f>
        <v/>
      </c>
      <c r="W297">
        <f>HYPERLINK("https://klasma.github.io/Logging_2462/klagomålsmail/A 31884-2024 FSC-klagomål mail.docx", "A 31884-2024")</f>
        <v/>
      </c>
      <c r="X297">
        <f>HYPERLINK("https://klasma.github.io/Logging_2462/tillsyn/A 31884-2024 tillsynsbegäran.docx", "A 31884-2024")</f>
        <v/>
      </c>
      <c r="Y297">
        <f>HYPERLINK("https://klasma.github.io/Logging_2462/tillsynsmail/A 31884-2024 tillsynsbegäran mail.docx", "A 31884-2024")</f>
        <v/>
      </c>
      <c r="Z297">
        <f>HYPERLINK("https://klasma.github.io/Logging_2462/fåglar/A 31884-2024 prioriterade fågelarter.docx", "A 31884-2024")</f>
        <v/>
      </c>
    </row>
    <row r="298" ht="15" customHeight="1">
      <c r="A298" t="inlineStr">
        <is>
          <t>A 32223-2024</t>
        </is>
      </c>
      <c r="B298" s="1" t="n">
        <v>45511</v>
      </c>
      <c r="C298" s="1" t="n">
        <v>45788</v>
      </c>
      <c r="D298" t="inlineStr">
        <is>
          <t>VÄSTERBOTTENS LÄN</t>
        </is>
      </c>
      <c r="E298" t="inlineStr">
        <is>
          <t>VINDELN</t>
        </is>
      </c>
      <c r="G298" t="n">
        <v>15.9</v>
      </c>
      <c r="H298" t="n">
        <v>1</v>
      </c>
      <c r="I298" t="n">
        <v>4</v>
      </c>
      <c r="J298" t="n">
        <v>4</v>
      </c>
      <c r="K298" t="n">
        <v>1</v>
      </c>
      <c r="L298" t="n">
        <v>0</v>
      </c>
      <c r="M298" t="n">
        <v>0</v>
      </c>
      <c r="N298" t="n">
        <v>0</v>
      </c>
      <c r="O298" t="n">
        <v>5</v>
      </c>
      <c r="P298" t="n">
        <v>1</v>
      </c>
      <c r="Q298" t="n">
        <v>9</v>
      </c>
      <c r="R298" s="2" t="inlineStr">
        <is>
          <t>Smalfotad taggsvamp
Blå taggsvamp
Garnlav
Skrovlig taggsvamp
Svartvit taggsvamp
Dropptaggsvamp
Plattlummer
Skarp dropptaggsvamp
Vedticka</t>
        </is>
      </c>
      <c r="S298">
        <f>HYPERLINK("https://klasma.github.io/Logging_2404/artfynd/A 32223-2024 artfynd.xlsx", "A 32223-2024")</f>
        <v/>
      </c>
      <c r="T298">
        <f>HYPERLINK("https://klasma.github.io/Logging_2404/kartor/A 32223-2024 karta.png", "A 32223-2024")</f>
        <v/>
      </c>
      <c r="V298">
        <f>HYPERLINK("https://klasma.github.io/Logging_2404/klagomål/A 32223-2024 FSC-klagomål.docx", "A 32223-2024")</f>
        <v/>
      </c>
      <c r="W298">
        <f>HYPERLINK("https://klasma.github.io/Logging_2404/klagomålsmail/A 32223-2024 FSC-klagomål mail.docx", "A 32223-2024")</f>
        <v/>
      </c>
      <c r="X298">
        <f>HYPERLINK("https://klasma.github.io/Logging_2404/tillsyn/A 32223-2024 tillsynsbegäran.docx", "A 32223-2024")</f>
        <v/>
      </c>
      <c r="Y298">
        <f>HYPERLINK("https://klasma.github.io/Logging_2404/tillsynsmail/A 32223-2024 tillsynsbegäran mail.docx", "A 32223-2024")</f>
        <v/>
      </c>
    </row>
    <row r="299" ht="15" customHeight="1">
      <c r="A299" t="inlineStr">
        <is>
          <t>A 53424-2024</t>
        </is>
      </c>
      <c r="B299" s="1" t="n">
        <v>45614</v>
      </c>
      <c r="C299" s="1" t="n">
        <v>45788</v>
      </c>
      <c r="D299" t="inlineStr">
        <is>
          <t>VÄSTERBOTTENS LÄN</t>
        </is>
      </c>
      <c r="E299" t="inlineStr">
        <is>
          <t>SKELLEFTEÅ</t>
        </is>
      </c>
      <c r="G299" t="n">
        <v>7.6</v>
      </c>
      <c r="H299" t="n">
        <v>2</v>
      </c>
      <c r="I299" t="n">
        <v>3</v>
      </c>
      <c r="J299" t="n">
        <v>6</v>
      </c>
      <c r="K299" t="n">
        <v>0</v>
      </c>
      <c r="L299" t="n">
        <v>0</v>
      </c>
      <c r="M299" t="n">
        <v>0</v>
      </c>
      <c r="N299" t="n">
        <v>0</v>
      </c>
      <c r="O299" t="n">
        <v>6</v>
      </c>
      <c r="P299" t="n">
        <v>0</v>
      </c>
      <c r="Q299" t="n">
        <v>9</v>
      </c>
      <c r="R299" s="2" t="inlineStr">
        <is>
          <t>Blå taggsvamp
Orange taggsvamp
Svart taggsvamp
Tallriska
Talltaggsvamp
Utter
Dropptaggsvamp
Plattlummer
Skarp dropptaggsvamp</t>
        </is>
      </c>
      <c r="S299">
        <f>HYPERLINK("https://klasma.github.io/Logging_2482/artfynd/A 53424-2024 artfynd.xlsx", "A 53424-2024")</f>
        <v/>
      </c>
      <c r="T299">
        <f>HYPERLINK("https://klasma.github.io/Logging_2482/kartor/A 53424-2024 karta.png", "A 53424-2024")</f>
        <v/>
      </c>
      <c r="V299">
        <f>HYPERLINK("https://klasma.github.io/Logging_2482/klagomål/A 53424-2024 FSC-klagomål.docx", "A 53424-2024")</f>
        <v/>
      </c>
      <c r="W299">
        <f>HYPERLINK("https://klasma.github.io/Logging_2482/klagomålsmail/A 53424-2024 FSC-klagomål mail.docx", "A 53424-2024")</f>
        <v/>
      </c>
      <c r="X299">
        <f>HYPERLINK("https://klasma.github.io/Logging_2482/tillsyn/A 53424-2024 tillsynsbegäran.docx", "A 53424-2024")</f>
        <v/>
      </c>
      <c r="Y299">
        <f>HYPERLINK("https://klasma.github.io/Logging_2482/tillsynsmail/A 53424-2024 tillsynsbegäran mail.docx", "A 53424-2024")</f>
        <v/>
      </c>
    </row>
    <row r="300" ht="15" customHeight="1">
      <c r="A300" t="inlineStr">
        <is>
          <t>A 59036-2024</t>
        </is>
      </c>
      <c r="B300" s="1" t="n">
        <v>45636</v>
      </c>
      <c r="C300" s="1" t="n">
        <v>45788</v>
      </c>
      <c r="D300" t="inlineStr">
        <is>
          <t>VÄSTERBOTTENS LÄN</t>
        </is>
      </c>
      <c r="E300" t="inlineStr">
        <is>
          <t>VILHELMINA</t>
        </is>
      </c>
      <c r="F300" t="inlineStr">
        <is>
          <t>Allmännings- och besparingsskogar</t>
        </is>
      </c>
      <c r="G300" t="n">
        <v>32.7</v>
      </c>
      <c r="H300" t="n">
        <v>1</v>
      </c>
      <c r="I300" t="n">
        <v>2</v>
      </c>
      <c r="J300" t="n">
        <v>6</v>
      </c>
      <c r="K300" t="n">
        <v>0</v>
      </c>
      <c r="L300" t="n">
        <v>0</v>
      </c>
      <c r="M300" t="n">
        <v>0</v>
      </c>
      <c r="N300" t="n">
        <v>0</v>
      </c>
      <c r="O300" t="n">
        <v>6</v>
      </c>
      <c r="P300" t="n">
        <v>0</v>
      </c>
      <c r="Q300" t="n">
        <v>9</v>
      </c>
      <c r="R300" s="2" t="inlineStr">
        <is>
          <t>Garnlav
Harticka
Knottrig blåslav
Rödbrun blekspik
Skrovellav
Vitgrynig nållav
Bårdlav
Gulnål
Skogsrör</t>
        </is>
      </c>
      <c r="S300">
        <f>HYPERLINK("https://klasma.github.io/Logging_2462/artfynd/A 59036-2024 artfynd.xlsx", "A 59036-2024")</f>
        <v/>
      </c>
      <c r="T300">
        <f>HYPERLINK("https://klasma.github.io/Logging_2462/kartor/A 59036-2024 karta.png", "A 59036-2024")</f>
        <v/>
      </c>
      <c r="V300">
        <f>HYPERLINK("https://klasma.github.io/Logging_2462/klagomål/A 59036-2024 FSC-klagomål.docx", "A 59036-2024")</f>
        <v/>
      </c>
      <c r="W300">
        <f>HYPERLINK("https://klasma.github.io/Logging_2462/klagomålsmail/A 59036-2024 FSC-klagomål mail.docx", "A 59036-2024")</f>
        <v/>
      </c>
      <c r="X300">
        <f>HYPERLINK("https://klasma.github.io/Logging_2462/tillsyn/A 59036-2024 tillsynsbegäran.docx", "A 59036-2024")</f>
        <v/>
      </c>
      <c r="Y300">
        <f>HYPERLINK("https://klasma.github.io/Logging_2462/tillsynsmail/A 59036-2024 tillsynsbegäran mail.docx", "A 59036-2024")</f>
        <v/>
      </c>
    </row>
    <row r="301" ht="15" customHeight="1">
      <c r="A301" t="inlineStr">
        <is>
          <t>A 1217-2025</t>
        </is>
      </c>
      <c r="B301" s="1" t="n">
        <v>45667</v>
      </c>
      <c r="C301" s="1" t="n">
        <v>45788</v>
      </c>
      <c r="D301" t="inlineStr">
        <is>
          <t>VÄSTERBOTTENS LÄN</t>
        </is>
      </c>
      <c r="E301" t="inlineStr">
        <is>
          <t>VILHELMINA</t>
        </is>
      </c>
      <c r="G301" t="n">
        <v>26.2</v>
      </c>
      <c r="H301" t="n">
        <v>1</v>
      </c>
      <c r="I301" t="n">
        <v>2</v>
      </c>
      <c r="J301" t="n">
        <v>6</v>
      </c>
      <c r="K301" t="n">
        <v>1</v>
      </c>
      <c r="L301" t="n">
        <v>0</v>
      </c>
      <c r="M301" t="n">
        <v>0</v>
      </c>
      <c r="N301" t="n">
        <v>0</v>
      </c>
      <c r="O301" t="n">
        <v>7</v>
      </c>
      <c r="P301" t="n">
        <v>1</v>
      </c>
      <c r="Q301" t="n">
        <v>9</v>
      </c>
      <c r="R301" s="2" t="inlineStr">
        <is>
          <t>Rynkskinn
Garnlav
Granticka
Gränsticka
Harticka
Skrovellav
Tretåig hackspett
Bårdlav
Luddlav</t>
        </is>
      </c>
      <c r="S301">
        <f>HYPERLINK("https://klasma.github.io/Logging_2462/artfynd/A 1217-2025 artfynd.xlsx", "A 1217-2025")</f>
        <v/>
      </c>
      <c r="T301">
        <f>HYPERLINK("https://klasma.github.io/Logging_2462/kartor/A 1217-2025 karta.png", "A 1217-2025")</f>
        <v/>
      </c>
      <c r="V301">
        <f>HYPERLINK("https://klasma.github.io/Logging_2462/klagomål/A 1217-2025 FSC-klagomål.docx", "A 1217-2025")</f>
        <v/>
      </c>
      <c r="W301">
        <f>HYPERLINK("https://klasma.github.io/Logging_2462/klagomålsmail/A 1217-2025 FSC-klagomål mail.docx", "A 1217-2025")</f>
        <v/>
      </c>
      <c r="X301">
        <f>HYPERLINK("https://klasma.github.io/Logging_2462/tillsyn/A 1217-2025 tillsynsbegäran.docx", "A 1217-2025")</f>
        <v/>
      </c>
      <c r="Y301">
        <f>HYPERLINK("https://klasma.github.io/Logging_2462/tillsynsmail/A 1217-2025 tillsynsbegäran mail.docx", "A 1217-2025")</f>
        <v/>
      </c>
      <c r="Z301">
        <f>HYPERLINK("https://klasma.github.io/Logging_2462/fåglar/A 1217-2025 prioriterade fågelarter.docx", "A 1217-2025")</f>
        <v/>
      </c>
    </row>
    <row r="302" ht="15" customHeight="1">
      <c r="A302" t="inlineStr">
        <is>
          <t>A 3609-2025</t>
        </is>
      </c>
      <c r="B302" s="1" t="n">
        <v>45681</v>
      </c>
      <c r="C302" s="1" t="n">
        <v>45788</v>
      </c>
      <c r="D302" t="inlineStr">
        <is>
          <t>VÄSTERBOTTENS LÄN</t>
        </is>
      </c>
      <c r="E302" t="inlineStr">
        <is>
          <t>VILHELMINA</t>
        </is>
      </c>
      <c r="G302" t="n">
        <v>18.8</v>
      </c>
      <c r="H302" t="n">
        <v>2</v>
      </c>
      <c r="I302" t="n">
        <v>1</v>
      </c>
      <c r="J302" t="n">
        <v>6</v>
      </c>
      <c r="K302" t="n">
        <v>1</v>
      </c>
      <c r="L302" t="n">
        <v>0</v>
      </c>
      <c r="M302" t="n">
        <v>0</v>
      </c>
      <c r="N302" t="n">
        <v>0</v>
      </c>
      <c r="O302" t="n">
        <v>7</v>
      </c>
      <c r="P302" t="n">
        <v>1</v>
      </c>
      <c r="Q302" t="n">
        <v>9</v>
      </c>
      <c r="R302" s="2" t="inlineStr">
        <is>
          <t>Rynkskinn
Doftskinn
Granticka
Gränsticka
Harticka
Rosenticka
Tretåig hackspett
Trådticka
Lavskrika</t>
        </is>
      </c>
      <c r="S302">
        <f>HYPERLINK("https://klasma.github.io/Logging_2462/artfynd/A 3609-2025 artfynd.xlsx", "A 3609-2025")</f>
        <v/>
      </c>
      <c r="T302">
        <f>HYPERLINK("https://klasma.github.io/Logging_2462/kartor/A 3609-2025 karta.png", "A 3609-2025")</f>
        <v/>
      </c>
      <c r="V302">
        <f>HYPERLINK("https://klasma.github.io/Logging_2462/klagomål/A 3609-2025 FSC-klagomål.docx", "A 3609-2025")</f>
        <v/>
      </c>
      <c r="W302">
        <f>HYPERLINK("https://klasma.github.io/Logging_2462/klagomålsmail/A 3609-2025 FSC-klagomål mail.docx", "A 3609-2025")</f>
        <v/>
      </c>
      <c r="X302">
        <f>HYPERLINK("https://klasma.github.io/Logging_2462/tillsyn/A 3609-2025 tillsynsbegäran.docx", "A 3609-2025")</f>
        <v/>
      </c>
      <c r="Y302">
        <f>HYPERLINK("https://klasma.github.io/Logging_2462/tillsynsmail/A 3609-2025 tillsynsbegäran mail.docx", "A 3609-2025")</f>
        <v/>
      </c>
      <c r="Z302">
        <f>HYPERLINK("https://klasma.github.io/Logging_2462/fåglar/A 3609-2025 prioriterade fågelarter.docx", "A 3609-2025")</f>
        <v/>
      </c>
    </row>
    <row r="303" ht="15" customHeight="1">
      <c r="A303" t="inlineStr">
        <is>
          <t>A 9093-2025</t>
        </is>
      </c>
      <c r="B303" s="1" t="n">
        <v>45713</v>
      </c>
      <c r="C303" s="1" t="n">
        <v>45788</v>
      </c>
      <c r="D303" t="inlineStr">
        <is>
          <t>VÄSTERBOTTENS LÄN</t>
        </is>
      </c>
      <c r="E303" t="inlineStr">
        <is>
          <t>SKELLEFTEÅ</t>
        </is>
      </c>
      <c r="G303" t="n">
        <v>4.3</v>
      </c>
      <c r="H303" t="n">
        <v>3</v>
      </c>
      <c r="I303" t="n">
        <v>2</v>
      </c>
      <c r="J303" t="n">
        <v>7</v>
      </c>
      <c r="K303" t="n">
        <v>0</v>
      </c>
      <c r="L303" t="n">
        <v>0</v>
      </c>
      <c r="M303" t="n">
        <v>0</v>
      </c>
      <c r="N303" t="n">
        <v>0</v>
      </c>
      <c r="O303" t="n">
        <v>7</v>
      </c>
      <c r="P303" t="n">
        <v>0</v>
      </c>
      <c r="Q303" t="n">
        <v>9</v>
      </c>
      <c r="R303" s="2" t="inlineStr">
        <is>
          <t>Garnlav
Granticka
Spillkråka
Talltita
Tretåig hackspett
Ullticka
Violettgrå tagellav
Bronshjon
Vedticka</t>
        </is>
      </c>
      <c r="S303">
        <f>HYPERLINK("https://klasma.github.io/Logging_2482/artfynd/A 9093-2025 artfynd.xlsx", "A 9093-2025")</f>
        <v/>
      </c>
      <c r="T303">
        <f>HYPERLINK("https://klasma.github.io/Logging_2482/kartor/A 9093-2025 karta.png", "A 9093-2025")</f>
        <v/>
      </c>
      <c r="V303">
        <f>HYPERLINK("https://klasma.github.io/Logging_2482/klagomål/A 9093-2025 FSC-klagomål.docx", "A 9093-2025")</f>
        <v/>
      </c>
      <c r="W303">
        <f>HYPERLINK("https://klasma.github.io/Logging_2482/klagomålsmail/A 9093-2025 FSC-klagomål mail.docx", "A 9093-2025")</f>
        <v/>
      </c>
      <c r="X303">
        <f>HYPERLINK("https://klasma.github.io/Logging_2482/tillsyn/A 9093-2025 tillsynsbegäran.docx", "A 9093-2025")</f>
        <v/>
      </c>
      <c r="Y303">
        <f>HYPERLINK("https://klasma.github.io/Logging_2482/tillsynsmail/A 9093-2025 tillsynsbegäran mail.docx", "A 9093-2025")</f>
        <v/>
      </c>
      <c r="Z303">
        <f>HYPERLINK("https://klasma.github.io/Logging_2482/fåglar/A 9093-2025 prioriterade fågelarter.docx", "A 9093-2025")</f>
        <v/>
      </c>
    </row>
    <row r="304" ht="15" customHeight="1">
      <c r="A304" t="inlineStr">
        <is>
          <t>A 11797-2025</t>
        </is>
      </c>
      <c r="B304" s="1" t="n">
        <v>45727</v>
      </c>
      <c r="C304" s="1" t="n">
        <v>45788</v>
      </c>
      <c r="D304" t="inlineStr">
        <is>
          <t>VÄSTERBOTTENS LÄN</t>
        </is>
      </c>
      <c r="E304" t="inlineStr">
        <is>
          <t>UMEÅ</t>
        </is>
      </c>
      <c r="F304" t="inlineStr">
        <is>
          <t>Kommuner</t>
        </is>
      </c>
      <c r="G304" t="n">
        <v>6.2</v>
      </c>
      <c r="H304" t="n">
        <v>4</v>
      </c>
      <c r="I304" t="n">
        <v>1</v>
      </c>
      <c r="J304" t="n">
        <v>8</v>
      </c>
      <c r="K304" t="n">
        <v>0</v>
      </c>
      <c r="L304" t="n">
        <v>0</v>
      </c>
      <c r="M304" t="n">
        <v>0</v>
      </c>
      <c r="N304" t="n">
        <v>0</v>
      </c>
      <c r="O304" t="n">
        <v>8</v>
      </c>
      <c r="P304" t="n">
        <v>0</v>
      </c>
      <c r="Q304" t="n">
        <v>9</v>
      </c>
      <c r="R304" s="2" t="inlineStr">
        <is>
          <t>Fiskmås
Garnlav
Granticka
Harticka
Havsörn
Järpe
Tretåig hackspett
Ullticka
Vedticka</t>
        </is>
      </c>
      <c r="S304">
        <f>HYPERLINK("https://klasma.github.io/Logging_242480/artfynd/A 11797-2025 artfynd.xlsx", "A 11797-2025")</f>
        <v/>
      </c>
      <c r="T304">
        <f>HYPERLINK("https://klasma.github.io/Logging_242480/kartor/A 11797-2025 karta.png", "A 11797-2025")</f>
        <v/>
      </c>
      <c r="V304">
        <f>HYPERLINK("https://klasma.github.io/Logging_242480/klagomål/A 11797-2025 FSC-klagomål.docx", "A 11797-2025")</f>
        <v/>
      </c>
      <c r="W304">
        <f>HYPERLINK("https://klasma.github.io/Logging_242480/klagomålsmail/A 11797-2025 FSC-klagomål mail.docx", "A 11797-2025")</f>
        <v/>
      </c>
      <c r="X304">
        <f>HYPERLINK("https://klasma.github.io/Logging_242480/tillsyn/A 11797-2025 tillsynsbegäran.docx", "A 11797-2025")</f>
        <v/>
      </c>
      <c r="Y304">
        <f>HYPERLINK("https://klasma.github.io/Logging_242480/tillsynsmail/A 11797-2025 tillsynsbegäran mail.docx", "A 11797-2025")</f>
        <v/>
      </c>
      <c r="Z304">
        <f>HYPERLINK("https://klasma.github.io/Logging_242480/fåglar/A 11797-2025 prioriterade fågelarter.docx", "A 11797-2025")</f>
        <v/>
      </c>
    </row>
    <row r="305" ht="15" customHeight="1">
      <c r="A305" t="inlineStr">
        <is>
          <t>A 31889-2019</t>
        </is>
      </c>
      <c r="B305" s="1" t="n">
        <v>43642</v>
      </c>
      <c r="C305" s="1" t="n">
        <v>45788</v>
      </c>
      <c r="D305" t="inlineStr">
        <is>
          <t>VÄSTERBOTTENS LÄN</t>
        </is>
      </c>
      <c r="E305" t="inlineStr">
        <is>
          <t>SKELLEFTEÅ</t>
        </is>
      </c>
      <c r="G305" t="n">
        <v>0.7</v>
      </c>
      <c r="H305" t="n">
        <v>4</v>
      </c>
      <c r="I305" t="n">
        <v>2</v>
      </c>
      <c r="J305" t="n">
        <v>3</v>
      </c>
      <c r="K305" t="n">
        <v>2</v>
      </c>
      <c r="L305" t="n">
        <v>0</v>
      </c>
      <c r="M305" t="n">
        <v>0</v>
      </c>
      <c r="N305" t="n">
        <v>0</v>
      </c>
      <c r="O305" t="n">
        <v>5</v>
      </c>
      <c r="P305" t="n">
        <v>2</v>
      </c>
      <c r="Q305" t="n">
        <v>8</v>
      </c>
      <c r="R305" s="2" t="inlineStr">
        <is>
          <t>Bombmurkla
Knärot
Garnlav
Rosenticka
Ullticka
Spindelblomster
Vedticka
Fläcknycklar</t>
        </is>
      </c>
      <c r="S305">
        <f>HYPERLINK("https://klasma.github.io/Logging_2482/artfynd/A 31889-2019 artfynd.xlsx", "A 31889-2019")</f>
        <v/>
      </c>
      <c r="T305">
        <f>HYPERLINK("https://klasma.github.io/Logging_2482/kartor/A 31889-2019 karta.png", "A 31889-2019")</f>
        <v/>
      </c>
      <c r="U305">
        <f>HYPERLINK("https://klasma.github.io/Logging_2482/knärot/A 31889-2019 karta knärot.png", "A 31889-2019")</f>
        <v/>
      </c>
      <c r="V305">
        <f>HYPERLINK("https://klasma.github.io/Logging_2482/klagomål/A 31889-2019 FSC-klagomål.docx", "A 31889-2019")</f>
        <v/>
      </c>
      <c r="W305">
        <f>HYPERLINK("https://klasma.github.io/Logging_2482/klagomålsmail/A 31889-2019 FSC-klagomål mail.docx", "A 31889-2019")</f>
        <v/>
      </c>
      <c r="X305">
        <f>HYPERLINK("https://klasma.github.io/Logging_2482/tillsyn/A 31889-2019 tillsynsbegäran.docx", "A 31889-2019")</f>
        <v/>
      </c>
      <c r="Y305">
        <f>HYPERLINK("https://klasma.github.io/Logging_2482/tillsynsmail/A 31889-2019 tillsynsbegäran mail.docx", "A 31889-2019")</f>
        <v/>
      </c>
    </row>
    <row r="306" ht="15" customHeight="1">
      <c r="A306" t="inlineStr">
        <is>
          <t>A 59248-2019</t>
        </is>
      </c>
      <c r="B306" s="1" t="n">
        <v>43775</v>
      </c>
      <c r="C306" s="1" t="n">
        <v>45788</v>
      </c>
      <c r="D306" t="inlineStr">
        <is>
          <t>VÄSTERBOTTENS LÄN</t>
        </is>
      </c>
      <c r="E306" t="inlineStr">
        <is>
          <t>STORUMAN</t>
        </is>
      </c>
      <c r="F306" t="inlineStr">
        <is>
          <t>Sveaskog</t>
        </is>
      </c>
      <c r="G306" t="n">
        <v>11.6</v>
      </c>
      <c r="H306" t="n">
        <v>2</v>
      </c>
      <c r="I306" t="n">
        <v>3</v>
      </c>
      <c r="J306" t="n">
        <v>3</v>
      </c>
      <c r="K306" t="n">
        <v>0</v>
      </c>
      <c r="L306" t="n">
        <v>0</v>
      </c>
      <c r="M306" t="n">
        <v>0</v>
      </c>
      <c r="N306" t="n">
        <v>0</v>
      </c>
      <c r="O306" t="n">
        <v>3</v>
      </c>
      <c r="P306" t="n">
        <v>0</v>
      </c>
      <c r="Q306" t="n">
        <v>8</v>
      </c>
      <c r="R306" s="2" t="inlineStr">
        <is>
          <t>Blågrå svartspik
Garnlav
Kolflarnlav
Dropptaggsvamp
Norrlandslav
Stuplav
Orre
Fläcknycklar</t>
        </is>
      </c>
      <c r="S306">
        <f>HYPERLINK("https://klasma.github.io/Logging_2421/artfynd/A 59248-2019 artfynd.xlsx", "A 59248-2019")</f>
        <v/>
      </c>
      <c r="T306">
        <f>HYPERLINK("https://klasma.github.io/Logging_2421/kartor/A 59248-2019 karta.png", "A 59248-2019")</f>
        <v/>
      </c>
      <c r="V306">
        <f>HYPERLINK("https://klasma.github.io/Logging_2421/klagomål/A 59248-2019 FSC-klagomål.docx", "A 59248-2019")</f>
        <v/>
      </c>
      <c r="W306">
        <f>HYPERLINK("https://klasma.github.io/Logging_2421/klagomålsmail/A 59248-2019 FSC-klagomål mail.docx", "A 59248-2019")</f>
        <v/>
      </c>
      <c r="X306">
        <f>HYPERLINK("https://klasma.github.io/Logging_2421/tillsyn/A 59248-2019 tillsynsbegäran.docx", "A 59248-2019")</f>
        <v/>
      </c>
      <c r="Y306">
        <f>HYPERLINK("https://klasma.github.io/Logging_2421/tillsynsmail/A 59248-2019 tillsynsbegäran mail.docx", "A 59248-2019")</f>
        <v/>
      </c>
      <c r="Z306">
        <f>HYPERLINK("https://klasma.github.io/Logging_2421/fåglar/A 59248-2019 prioriterade fågelarter.docx", "A 59248-2019")</f>
        <v/>
      </c>
    </row>
    <row r="307" ht="15" customHeight="1">
      <c r="A307" t="inlineStr">
        <is>
          <t>A 68176-2019</t>
        </is>
      </c>
      <c r="B307" s="1" t="n">
        <v>43817</v>
      </c>
      <c r="C307" s="1" t="n">
        <v>45788</v>
      </c>
      <c r="D307" t="inlineStr">
        <is>
          <t>VÄSTERBOTTENS LÄN</t>
        </is>
      </c>
      <c r="E307" t="inlineStr">
        <is>
          <t>LYCKSELE</t>
        </is>
      </c>
      <c r="F307" t="inlineStr">
        <is>
          <t>Sveaskog</t>
        </is>
      </c>
      <c r="G307" t="n">
        <v>44.2</v>
      </c>
      <c r="H307" t="n">
        <v>3</v>
      </c>
      <c r="I307" t="n">
        <v>4</v>
      </c>
      <c r="J307" t="n">
        <v>3</v>
      </c>
      <c r="K307" t="n">
        <v>1</v>
      </c>
      <c r="L307" t="n">
        <v>0</v>
      </c>
      <c r="M307" t="n">
        <v>0</v>
      </c>
      <c r="N307" t="n">
        <v>0</v>
      </c>
      <c r="O307" t="n">
        <v>4</v>
      </c>
      <c r="P307" t="n">
        <v>1</v>
      </c>
      <c r="Q307" t="n">
        <v>8</v>
      </c>
      <c r="R307" s="2" t="inlineStr">
        <is>
          <t>Doftticka
Lunglav
Tretåig hackspett
Ullticka
Dvärgtufs
Plattlummer
Skinnlav
Stuplav</t>
        </is>
      </c>
      <c r="S307">
        <f>HYPERLINK("https://klasma.github.io/Logging_2481/artfynd/A 68176-2019 artfynd.xlsx", "A 68176-2019")</f>
        <v/>
      </c>
      <c r="T307">
        <f>HYPERLINK("https://klasma.github.io/Logging_2481/kartor/A 68176-2019 karta.png", "A 68176-2019")</f>
        <v/>
      </c>
      <c r="V307">
        <f>HYPERLINK("https://klasma.github.io/Logging_2481/klagomål/A 68176-2019 FSC-klagomål.docx", "A 68176-2019")</f>
        <v/>
      </c>
      <c r="W307">
        <f>HYPERLINK("https://klasma.github.io/Logging_2481/klagomålsmail/A 68176-2019 FSC-klagomål mail.docx", "A 68176-2019")</f>
        <v/>
      </c>
      <c r="X307">
        <f>HYPERLINK("https://klasma.github.io/Logging_2481/tillsyn/A 68176-2019 tillsynsbegäran.docx", "A 68176-2019")</f>
        <v/>
      </c>
      <c r="Y307">
        <f>HYPERLINK("https://klasma.github.io/Logging_2481/tillsynsmail/A 68176-2019 tillsynsbegäran mail.docx", "A 68176-2019")</f>
        <v/>
      </c>
      <c r="Z307">
        <f>HYPERLINK("https://klasma.github.io/Logging_2481/fåglar/A 68176-2019 prioriterade fågelarter.docx", "A 68176-2019")</f>
        <v/>
      </c>
    </row>
    <row r="308" ht="15" customHeight="1">
      <c r="A308" t="inlineStr">
        <is>
          <t>A 14137-2020</t>
        </is>
      </c>
      <c r="B308" s="1" t="n">
        <v>43907</v>
      </c>
      <c r="C308" s="1" t="n">
        <v>45788</v>
      </c>
      <c r="D308" t="inlineStr">
        <is>
          <t>VÄSTERBOTTENS LÄN</t>
        </is>
      </c>
      <c r="E308" t="inlineStr">
        <is>
          <t>ROBERTSFORS</t>
        </is>
      </c>
      <c r="G308" t="n">
        <v>15.3</v>
      </c>
      <c r="H308" t="n">
        <v>1</v>
      </c>
      <c r="I308" t="n">
        <v>2</v>
      </c>
      <c r="J308" t="n">
        <v>5</v>
      </c>
      <c r="K308" t="n">
        <v>0</v>
      </c>
      <c r="L308" t="n">
        <v>0</v>
      </c>
      <c r="M308" t="n">
        <v>0</v>
      </c>
      <c r="N308" t="n">
        <v>0</v>
      </c>
      <c r="O308" t="n">
        <v>5</v>
      </c>
      <c r="P308" t="n">
        <v>0</v>
      </c>
      <c r="Q308" t="n">
        <v>8</v>
      </c>
      <c r="R308" s="2" t="inlineStr">
        <is>
          <t>Doftskinn
Motaggsvamp
Skrovlig taggsvamp
Ullticka
Vedskivlav
Barkticka
Vedticka
Fläcknycklar</t>
        </is>
      </c>
      <c r="S308">
        <f>HYPERLINK("https://klasma.github.io/Logging_2409/artfynd/A 14137-2020 artfynd.xlsx", "A 14137-2020")</f>
        <v/>
      </c>
      <c r="T308">
        <f>HYPERLINK("https://klasma.github.io/Logging_2409/kartor/A 14137-2020 karta.png", "A 14137-2020")</f>
        <v/>
      </c>
      <c r="V308">
        <f>HYPERLINK("https://klasma.github.io/Logging_2409/klagomål/A 14137-2020 FSC-klagomål.docx", "A 14137-2020")</f>
        <v/>
      </c>
      <c r="W308">
        <f>HYPERLINK("https://klasma.github.io/Logging_2409/klagomålsmail/A 14137-2020 FSC-klagomål mail.docx", "A 14137-2020")</f>
        <v/>
      </c>
      <c r="X308">
        <f>HYPERLINK("https://klasma.github.io/Logging_2409/tillsyn/A 14137-2020 tillsynsbegäran.docx", "A 14137-2020")</f>
        <v/>
      </c>
      <c r="Y308">
        <f>HYPERLINK("https://klasma.github.io/Logging_2409/tillsynsmail/A 14137-2020 tillsynsbegäran mail.docx", "A 14137-2020")</f>
        <v/>
      </c>
    </row>
    <row r="309" ht="15" customHeight="1">
      <c r="A309" t="inlineStr">
        <is>
          <t>A 23485-2020</t>
        </is>
      </c>
      <c r="B309" s="1" t="n">
        <v>43966</v>
      </c>
      <c r="C309" s="1" t="n">
        <v>45788</v>
      </c>
      <c r="D309" t="inlineStr">
        <is>
          <t>VÄSTERBOTTENS LÄN</t>
        </is>
      </c>
      <c r="E309" t="inlineStr">
        <is>
          <t>SKELLEFTEÅ</t>
        </is>
      </c>
      <c r="G309" t="n">
        <v>7.5</v>
      </c>
      <c r="H309" t="n">
        <v>2</v>
      </c>
      <c r="I309" t="n">
        <v>2</v>
      </c>
      <c r="J309" t="n">
        <v>5</v>
      </c>
      <c r="K309" t="n">
        <v>0</v>
      </c>
      <c r="L309" t="n">
        <v>1</v>
      </c>
      <c r="M309" t="n">
        <v>0</v>
      </c>
      <c r="N309" t="n">
        <v>0</v>
      </c>
      <c r="O309" t="n">
        <v>6</v>
      </c>
      <c r="P309" t="n">
        <v>1</v>
      </c>
      <c r="Q309" t="n">
        <v>8</v>
      </c>
      <c r="R309" s="2" t="inlineStr">
        <is>
          <t>Trådbrosklav
Garnlav
Granticka
Gränsticka
Järpe
Lunglav
Nästlav
Plattlummer</t>
        </is>
      </c>
      <c r="S309">
        <f>HYPERLINK("https://klasma.github.io/Logging_2482/artfynd/A 23485-2020 artfynd.xlsx", "A 23485-2020")</f>
        <v/>
      </c>
      <c r="T309">
        <f>HYPERLINK("https://klasma.github.io/Logging_2482/kartor/A 23485-2020 karta.png", "A 23485-2020")</f>
        <v/>
      </c>
      <c r="V309">
        <f>HYPERLINK("https://klasma.github.io/Logging_2482/klagomål/A 23485-2020 FSC-klagomål.docx", "A 23485-2020")</f>
        <v/>
      </c>
      <c r="W309">
        <f>HYPERLINK("https://klasma.github.io/Logging_2482/klagomålsmail/A 23485-2020 FSC-klagomål mail.docx", "A 23485-2020")</f>
        <v/>
      </c>
      <c r="X309">
        <f>HYPERLINK("https://klasma.github.io/Logging_2482/tillsyn/A 23485-2020 tillsynsbegäran.docx", "A 23485-2020")</f>
        <v/>
      </c>
      <c r="Y309">
        <f>HYPERLINK("https://klasma.github.io/Logging_2482/tillsynsmail/A 23485-2020 tillsynsbegäran mail.docx", "A 23485-2020")</f>
        <v/>
      </c>
      <c r="Z309">
        <f>HYPERLINK("https://klasma.github.io/Logging_2482/fåglar/A 23485-2020 prioriterade fågelarter.docx", "A 23485-2020")</f>
        <v/>
      </c>
    </row>
    <row r="310" ht="15" customHeight="1">
      <c r="A310" t="inlineStr">
        <is>
          <t>A 29245-2020</t>
        </is>
      </c>
      <c r="B310" s="1" t="n">
        <v>44000</v>
      </c>
      <c r="C310" s="1" t="n">
        <v>45788</v>
      </c>
      <c r="D310" t="inlineStr">
        <is>
          <t>VÄSTERBOTTENS LÄN</t>
        </is>
      </c>
      <c r="E310" t="inlineStr">
        <is>
          <t>VILHELMINA</t>
        </is>
      </c>
      <c r="G310" t="n">
        <v>53</v>
      </c>
      <c r="H310" t="n">
        <v>5</v>
      </c>
      <c r="I310" t="n">
        <v>0</v>
      </c>
      <c r="J310" t="n">
        <v>4</v>
      </c>
      <c r="K310" t="n">
        <v>2</v>
      </c>
      <c r="L310" t="n">
        <v>0</v>
      </c>
      <c r="M310" t="n">
        <v>0</v>
      </c>
      <c r="N310" t="n">
        <v>0</v>
      </c>
      <c r="O310" t="n">
        <v>6</v>
      </c>
      <c r="P310" t="n">
        <v>2</v>
      </c>
      <c r="Q310" t="n">
        <v>8</v>
      </c>
      <c r="R310" s="2" t="inlineStr">
        <is>
          <t>Hussvala
Knärot
Garnlav
Granticka
Knottrig blåslav
Tretåig hackspett
Orre
Fläcknycklar</t>
        </is>
      </c>
      <c r="S310">
        <f>HYPERLINK("https://klasma.github.io/Logging_2462/artfynd/A 29245-2020 artfynd.xlsx", "A 29245-2020")</f>
        <v/>
      </c>
      <c r="T310">
        <f>HYPERLINK("https://klasma.github.io/Logging_2462/kartor/A 29245-2020 karta.png", "A 29245-2020")</f>
        <v/>
      </c>
      <c r="U310">
        <f>HYPERLINK("https://klasma.github.io/Logging_2462/knärot/A 29245-2020 karta knärot.png", "A 29245-2020")</f>
        <v/>
      </c>
      <c r="V310">
        <f>HYPERLINK("https://klasma.github.io/Logging_2462/klagomål/A 29245-2020 FSC-klagomål.docx", "A 29245-2020")</f>
        <v/>
      </c>
      <c r="W310">
        <f>HYPERLINK("https://klasma.github.io/Logging_2462/klagomålsmail/A 29245-2020 FSC-klagomål mail.docx", "A 29245-2020")</f>
        <v/>
      </c>
      <c r="X310">
        <f>HYPERLINK("https://klasma.github.io/Logging_2462/tillsyn/A 29245-2020 tillsynsbegäran.docx", "A 29245-2020")</f>
        <v/>
      </c>
      <c r="Y310">
        <f>HYPERLINK("https://klasma.github.io/Logging_2462/tillsynsmail/A 29245-2020 tillsynsbegäran mail.docx", "A 29245-2020")</f>
        <v/>
      </c>
      <c r="Z310">
        <f>HYPERLINK("https://klasma.github.io/Logging_2462/fåglar/A 29245-2020 prioriterade fågelarter.docx", "A 29245-2020")</f>
        <v/>
      </c>
    </row>
    <row r="311" ht="15" customHeight="1">
      <c r="A311" t="inlineStr">
        <is>
          <t>A 2196-2021</t>
        </is>
      </c>
      <c r="B311" s="1" t="n">
        <v>44211</v>
      </c>
      <c r="C311" s="1" t="n">
        <v>45788</v>
      </c>
      <c r="D311" t="inlineStr">
        <is>
          <t>VÄSTERBOTTENS LÄN</t>
        </is>
      </c>
      <c r="E311" t="inlineStr">
        <is>
          <t>VILHELMINA</t>
        </is>
      </c>
      <c r="F311" t="inlineStr">
        <is>
          <t>Allmännings- och besparingsskogar</t>
        </is>
      </c>
      <c r="G311" t="n">
        <v>20.3</v>
      </c>
      <c r="H311" t="n">
        <v>0</v>
      </c>
      <c r="I311" t="n">
        <v>0</v>
      </c>
      <c r="J311" t="n">
        <v>5</v>
      </c>
      <c r="K311" t="n">
        <v>3</v>
      </c>
      <c r="L311" t="n">
        <v>0</v>
      </c>
      <c r="M311" t="n">
        <v>0</v>
      </c>
      <c r="N311" t="n">
        <v>0</v>
      </c>
      <c r="O311" t="n">
        <v>8</v>
      </c>
      <c r="P311" t="n">
        <v>3</v>
      </c>
      <c r="Q311" t="n">
        <v>8</v>
      </c>
      <c r="R311" s="2" t="inlineStr">
        <is>
          <t>Lappticka
Rynkskinn
Tajgaskinn
Doftskinn
Gränsticka
Rosenticka
Skrovellav
Ullticka</t>
        </is>
      </c>
      <c r="S311">
        <f>HYPERLINK("https://klasma.github.io/Logging_2462/artfynd/A 2196-2021 artfynd.xlsx", "A 2196-2021")</f>
        <v/>
      </c>
      <c r="T311">
        <f>HYPERLINK("https://klasma.github.io/Logging_2462/kartor/A 2196-2021 karta.png", "A 2196-2021")</f>
        <v/>
      </c>
      <c r="V311">
        <f>HYPERLINK("https://klasma.github.io/Logging_2462/klagomål/A 2196-2021 FSC-klagomål.docx", "A 2196-2021")</f>
        <v/>
      </c>
      <c r="W311">
        <f>HYPERLINK("https://klasma.github.io/Logging_2462/klagomålsmail/A 2196-2021 FSC-klagomål mail.docx", "A 2196-2021")</f>
        <v/>
      </c>
      <c r="X311">
        <f>HYPERLINK("https://klasma.github.io/Logging_2462/tillsyn/A 2196-2021 tillsynsbegäran.docx", "A 2196-2021")</f>
        <v/>
      </c>
      <c r="Y311">
        <f>HYPERLINK("https://klasma.github.io/Logging_2462/tillsynsmail/A 2196-2021 tillsynsbegäran mail.docx", "A 2196-2021")</f>
        <v/>
      </c>
    </row>
    <row r="312" ht="15" customHeight="1">
      <c r="A312" t="inlineStr">
        <is>
          <t>A 24051-2021</t>
        </is>
      </c>
      <c r="B312" s="1" t="n">
        <v>44335</v>
      </c>
      <c r="C312" s="1" t="n">
        <v>45788</v>
      </c>
      <c r="D312" t="inlineStr">
        <is>
          <t>VÄSTERBOTTENS LÄN</t>
        </is>
      </c>
      <c r="E312" t="inlineStr">
        <is>
          <t>NORDMALING</t>
        </is>
      </c>
      <c r="G312" t="n">
        <v>2.6</v>
      </c>
      <c r="H312" t="n">
        <v>2</v>
      </c>
      <c r="I312" t="n">
        <v>0</v>
      </c>
      <c r="J312" t="n">
        <v>5</v>
      </c>
      <c r="K312" t="n">
        <v>2</v>
      </c>
      <c r="L312" t="n">
        <v>1</v>
      </c>
      <c r="M312" t="n">
        <v>0</v>
      </c>
      <c r="N312" t="n">
        <v>0</v>
      </c>
      <c r="O312" t="n">
        <v>8</v>
      </c>
      <c r="P312" t="n">
        <v>3</v>
      </c>
      <c r="Q312" t="n">
        <v>8</v>
      </c>
      <c r="R312" s="2" t="inlineStr">
        <is>
          <t>Trådbrosklav
Rynkskinn
Ulltickeporing
Garnlav
Järpe
Rosenticka
Tretåig hackspett
Ullticka</t>
        </is>
      </c>
      <c r="S312">
        <f>HYPERLINK("https://klasma.github.io/Logging_2401/artfynd/A 24051-2021 artfynd.xlsx", "A 24051-2021")</f>
        <v/>
      </c>
      <c r="T312">
        <f>HYPERLINK("https://klasma.github.io/Logging_2401/kartor/A 24051-2021 karta.png", "A 24051-2021")</f>
        <v/>
      </c>
      <c r="V312">
        <f>HYPERLINK("https://klasma.github.io/Logging_2401/klagomål/A 24051-2021 FSC-klagomål.docx", "A 24051-2021")</f>
        <v/>
      </c>
      <c r="W312">
        <f>HYPERLINK("https://klasma.github.io/Logging_2401/klagomålsmail/A 24051-2021 FSC-klagomål mail.docx", "A 24051-2021")</f>
        <v/>
      </c>
      <c r="X312">
        <f>HYPERLINK("https://klasma.github.io/Logging_2401/tillsyn/A 24051-2021 tillsynsbegäran.docx", "A 24051-2021")</f>
        <v/>
      </c>
      <c r="Y312">
        <f>HYPERLINK("https://klasma.github.io/Logging_2401/tillsynsmail/A 24051-2021 tillsynsbegäran mail.docx", "A 24051-2021")</f>
        <v/>
      </c>
      <c r="Z312">
        <f>HYPERLINK("https://klasma.github.io/Logging_2401/fåglar/A 24051-2021 prioriterade fågelarter.docx", "A 24051-2021")</f>
        <v/>
      </c>
    </row>
    <row r="313" ht="15" customHeight="1">
      <c r="A313" t="inlineStr">
        <is>
          <t>A 44892-2021</t>
        </is>
      </c>
      <c r="B313" s="1" t="n">
        <v>44438</v>
      </c>
      <c r="C313" s="1" t="n">
        <v>45788</v>
      </c>
      <c r="D313" t="inlineStr">
        <is>
          <t>VÄSTERBOTTENS LÄN</t>
        </is>
      </c>
      <c r="E313" t="inlineStr">
        <is>
          <t>SKELLEFTEÅ</t>
        </is>
      </c>
      <c r="G313" t="n">
        <v>35.9</v>
      </c>
      <c r="H313" t="n">
        <v>3</v>
      </c>
      <c r="I313" t="n">
        <v>4</v>
      </c>
      <c r="J313" t="n">
        <v>2</v>
      </c>
      <c r="K313" t="n">
        <v>0</v>
      </c>
      <c r="L313" t="n">
        <v>0</v>
      </c>
      <c r="M313" t="n">
        <v>0</v>
      </c>
      <c r="N313" t="n">
        <v>0</v>
      </c>
      <c r="O313" t="n">
        <v>2</v>
      </c>
      <c r="P313" t="n">
        <v>0</v>
      </c>
      <c r="Q313" t="n">
        <v>8</v>
      </c>
      <c r="R313" s="2" t="inlineStr">
        <is>
          <t>Garnlav
Lunglav
Gräsull
Guckusko
Stuplav
Tibast
Brudsporre
Fläcknycklar</t>
        </is>
      </c>
      <c r="S313">
        <f>HYPERLINK("https://klasma.github.io/Logging_2482/artfynd/A 44892-2021 artfynd.xlsx", "A 44892-2021")</f>
        <v/>
      </c>
      <c r="T313">
        <f>HYPERLINK("https://klasma.github.io/Logging_2482/kartor/A 44892-2021 karta.png", "A 44892-2021")</f>
        <v/>
      </c>
      <c r="V313">
        <f>HYPERLINK("https://klasma.github.io/Logging_2482/klagomål/A 44892-2021 FSC-klagomål.docx", "A 44892-2021")</f>
        <v/>
      </c>
      <c r="W313">
        <f>HYPERLINK("https://klasma.github.io/Logging_2482/klagomålsmail/A 44892-2021 FSC-klagomål mail.docx", "A 44892-2021")</f>
        <v/>
      </c>
      <c r="X313">
        <f>HYPERLINK("https://klasma.github.io/Logging_2482/tillsyn/A 44892-2021 tillsynsbegäran.docx", "A 44892-2021")</f>
        <v/>
      </c>
      <c r="Y313">
        <f>HYPERLINK("https://klasma.github.io/Logging_2482/tillsynsmail/A 44892-2021 tillsynsbegäran mail.docx", "A 44892-2021")</f>
        <v/>
      </c>
    </row>
    <row r="314" ht="15" customHeight="1">
      <c r="A314" t="inlineStr">
        <is>
          <t>A 54406-2021</t>
        </is>
      </c>
      <c r="B314" s="1" t="n">
        <v>44473</v>
      </c>
      <c r="C314" s="1" t="n">
        <v>45788</v>
      </c>
      <c r="D314" t="inlineStr">
        <is>
          <t>VÄSTERBOTTENS LÄN</t>
        </is>
      </c>
      <c r="E314" t="inlineStr">
        <is>
          <t>ROBERTSFORS</t>
        </is>
      </c>
      <c r="G314" t="n">
        <v>3.1</v>
      </c>
      <c r="H314" t="n">
        <v>2</v>
      </c>
      <c r="I314" t="n">
        <v>3</v>
      </c>
      <c r="J314" t="n">
        <v>5</v>
      </c>
      <c r="K314" t="n">
        <v>0</v>
      </c>
      <c r="L314" t="n">
        <v>0</v>
      </c>
      <c r="M314" t="n">
        <v>0</v>
      </c>
      <c r="N314" t="n">
        <v>0</v>
      </c>
      <c r="O314" t="n">
        <v>5</v>
      </c>
      <c r="P314" t="n">
        <v>0</v>
      </c>
      <c r="Q314" t="n">
        <v>8</v>
      </c>
      <c r="R314" s="2" t="inlineStr">
        <is>
          <t>Gammelgransskål
Spillkråka
Tretåig hackspett
Ullticka
Violettgrå tagellav
Dropptaggsvamp
Skinnlav
Vedticka</t>
        </is>
      </c>
      <c r="S314">
        <f>HYPERLINK("https://klasma.github.io/Logging_2409/artfynd/A 54406-2021 artfynd.xlsx", "A 54406-2021")</f>
        <v/>
      </c>
      <c r="T314">
        <f>HYPERLINK("https://klasma.github.io/Logging_2409/kartor/A 54406-2021 karta.png", "A 54406-2021")</f>
        <v/>
      </c>
      <c r="V314">
        <f>HYPERLINK("https://klasma.github.io/Logging_2409/klagomål/A 54406-2021 FSC-klagomål.docx", "A 54406-2021")</f>
        <v/>
      </c>
      <c r="W314">
        <f>HYPERLINK("https://klasma.github.io/Logging_2409/klagomålsmail/A 54406-2021 FSC-klagomål mail.docx", "A 54406-2021")</f>
        <v/>
      </c>
      <c r="X314">
        <f>HYPERLINK("https://klasma.github.io/Logging_2409/tillsyn/A 54406-2021 tillsynsbegäran.docx", "A 54406-2021")</f>
        <v/>
      </c>
      <c r="Y314">
        <f>HYPERLINK("https://klasma.github.io/Logging_2409/tillsynsmail/A 54406-2021 tillsynsbegäran mail.docx", "A 54406-2021")</f>
        <v/>
      </c>
      <c r="Z314">
        <f>HYPERLINK("https://klasma.github.io/Logging_2409/fåglar/A 54406-2021 prioriterade fågelarter.docx", "A 54406-2021")</f>
        <v/>
      </c>
    </row>
    <row r="315" ht="15" customHeight="1">
      <c r="A315" t="inlineStr">
        <is>
          <t>A 63588-2021</t>
        </is>
      </c>
      <c r="B315" s="1" t="n">
        <v>44508</v>
      </c>
      <c r="C315" s="1" t="n">
        <v>45788</v>
      </c>
      <c r="D315" t="inlineStr">
        <is>
          <t>VÄSTERBOTTENS LÄN</t>
        </is>
      </c>
      <c r="E315" t="inlineStr">
        <is>
          <t>LYCKSELE</t>
        </is>
      </c>
      <c r="G315" t="n">
        <v>5.8</v>
      </c>
      <c r="H315" t="n">
        <v>0</v>
      </c>
      <c r="I315" t="n">
        <v>1</v>
      </c>
      <c r="J315" t="n">
        <v>7</v>
      </c>
      <c r="K315" t="n">
        <v>0</v>
      </c>
      <c r="L315" t="n">
        <v>0</v>
      </c>
      <c r="M315" t="n">
        <v>0</v>
      </c>
      <c r="N315" t="n">
        <v>0</v>
      </c>
      <c r="O315" t="n">
        <v>7</v>
      </c>
      <c r="P315" t="n">
        <v>0</v>
      </c>
      <c r="Q315" t="n">
        <v>8</v>
      </c>
      <c r="R315" s="2" t="inlineStr">
        <is>
          <t>Blå taggsvamp
Garnlav
Leptoporus mollis
Orange taggsvamp
Rosenticka
Ullticka
Vitgrynig nållav
Dropptaggsvamp</t>
        </is>
      </c>
      <c r="S315">
        <f>HYPERLINK("https://klasma.github.io/Logging_2481/artfynd/A 63588-2021 artfynd.xlsx", "A 63588-2021")</f>
        <v/>
      </c>
      <c r="T315">
        <f>HYPERLINK("https://klasma.github.io/Logging_2481/kartor/A 63588-2021 karta.png", "A 63588-2021")</f>
        <v/>
      </c>
      <c r="V315">
        <f>HYPERLINK("https://klasma.github.io/Logging_2481/klagomål/A 63588-2021 FSC-klagomål.docx", "A 63588-2021")</f>
        <v/>
      </c>
      <c r="W315">
        <f>HYPERLINK("https://klasma.github.io/Logging_2481/klagomålsmail/A 63588-2021 FSC-klagomål mail.docx", "A 63588-2021")</f>
        <v/>
      </c>
      <c r="X315">
        <f>HYPERLINK("https://klasma.github.io/Logging_2481/tillsyn/A 63588-2021 tillsynsbegäran.docx", "A 63588-2021")</f>
        <v/>
      </c>
      <c r="Y315">
        <f>HYPERLINK("https://klasma.github.io/Logging_2481/tillsynsmail/A 63588-2021 tillsynsbegäran mail.docx", "A 63588-2021")</f>
        <v/>
      </c>
    </row>
    <row r="316" ht="15" customHeight="1">
      <c r="A316" t="inlineStr">
        <is>
          <t>A 72168-2021</t>
        </is>
      </c>
      <c r="B316" s="1" t="n">
        <v>44543</v>
      </c>
      <c r="C316" s="1" t="n">
        <v>45788</v>
      </c>
      <c r="D316" t="inlineStr">
        <is>
          <t>VÄSTERBOTTENS LÄN</t>
        </is>
      </c>
      <c r="E316" t="inlineStr">
        <is>
          <t>STORUMAN</t>
        </is>
      </c>
      <c r="G316" t="n">
        <v>16</v>
      </c>
      <c r="H316" t="n">
        <v>2</v>
      </c>
      <c r="I316" t="n">
        <v>3</v>
      </c>
      <c r="J316" t="n">
        <v>4</v>
      </c>
      <c r="K316" t="n">
        <v>0</v>
      </c>
      <c r="L316" t="n">
        <v>0</v>
      </c>
      <c r="M316" t="n">
        <v>0</v>
      </c>
      <c r="N316" t="n">
        <v>0</v>
      </c>
      <c r="O316" t="n">
        <v>4</v>
      </c>
      <c r="P316" t="n">
        <v>0</v>
      </c>
      <c r="Q316" t="n">
        <v>8</v>
      </c>
      <c r="R316" s="2" t="inlineStr">
        <is>
          <t>Garnlav
Skorpgelélav
Skrovellav
Talltita
Bårdlav
Luddlav
Stuplav
Brudsporre</t>
        </is>
      </c>
      <c r="S316">
        <f>HYPERLINK("https://klasma.github.io/Logging_2421/artfynd/A 72168-2021 artfynd.xlsx", "A 72168-2021")</f>
        <v/>
      </c>
      <c r="T316">
        <f>HYPERLINK("https://klasma.github.io/Logging_2421/kartor/A 72168-2021 karta.png", "A 72168-2021")</f>
        <v/>
      </c>
      <c r="V316">
        <f>HYPERLINK("https://klasma.github.io/Logging_2421/klagomål/A 72168-2021 FSC-klagomål.docx", "A 72168-2021")</f>
        <v/>
      </c>
      <c r="W316">
        <f>HYPERLINK("https://klasma.github.io/Logging_2421/klagomålsmail/A 72168-2021 FSC-klagomål mail.docx", "A 72168-2021")</f>
        <v/>
      </c>
      <c r="X316">
        <f>HYPERLINK("https://klasma.github.io/Logging_2421/tillsyn/A 72168-2021 tillsynsbegäran.docx", "A 72168-2021")</f>
        <v/>
      </c>
      <c r="Y316">
        <f>HYPERLINK("https://klasma.github.io/Logging_2421/tillsynsmail/A 72168-2021 tillsynsbegäran mail.docx", "A 72168-2021")</f>
        <v/>
      </c>
      <c r="Z316">
        <f>HYPERLINK("https://klasma.github.io/Logging_2421/fåglar/A 72168-2021 prioriterade fågelarter.docx", "A 72168-2021")</f>
        <v/>
      </c>
    </row>
    <row r="317" ht="15" customHeight="1">
      <c r="A317" t="inlineStr">
        <is>
          <t>A 9245-2022</t>
        </is>
      </c>
      <c r="B317" s="1" t="n">
        <v>44616</v>
      </c>
      <c r="C317" s="1" t="n">
        <v>45788</v>
      </c>
      <c r="D317" t="inlineStr">
        <is>
          <t>VÄSTERBOTTENS LÄN</t>
        </is>
      </c>
      <c r="E317" t="inlineStr">
        <is>
          <t>UMEÅ</t>
        </is>
      </c>
      <c r="G317" t="n">
        <v>2.8</v>
      </c>
      <c r="H317" t="n">
        <v>2</v>
      </c>
      <c r="I317" t="n">
        <v>2</v>
      </c>
      <c r="J317" t="n">
        <v>6</v>
      </c>
      <c r="K317" t="n">
        <v>0</v>
      </c>
      <c r="L317" t="n">
        <v>0</v>
      </c>
      <c r="M317" t="n">
        <v>0</v>
      </c>
      <c r="N317" t="n">
        <v>0</v>
      </c>
      <c r="O317" t="n">
        <v>6</v>
      </c>
      <c r="P317" t="n">
        <v>0</v>
      </c>
      <c r="Q317" t="n">
        <v>8</v>
      </c>
      <c r="R317" s="2" t="inlineStr">
        <is>
          <t>Gropticka
Harticka
Järpe
Lundsångare
Ullticka
Violettgrå tagellav
Mörk husmossa
Vedticka</t>
        </is>
      </c>
      <c r="S317">
        <f>HYPERLINK("https://klasma.github.io/Logging_2480/artfynd/A 9245-2022 artfynd.xlsx", "A 9245-2022")</f>
        <v/>
      </c>
      <c r="T317">
        <f>HYPERLINK("https://klasma.github.io/Logging_2480/kartor/A 9245-2022 karta.png", "A 9245-2022")</f>
        <v/>
      </c>
      <c r="V317">
        <f>HYPERLINK("https://klasma.github.io/Logging_2480/klagomål/A 9245-2022 FSC-klagomål.docx", "A 9245-2022")</f>
        <v/>
      </c>
      <c r="W317">
        <f>HYPERLINK("https://klasma.github.io/Logging_2480/klagomålsmail/A 9245-2022 FSC-klagomål mail.docx", "A 9245-2022")</f>
        <v/>
      </c>
      <c r="X317">
        <f>HYPERLINK("https://klasma.github.io/Logging_2480/tillsyn/A 9245-2022 tillsynsbegäran.docx", "A 9245-2022")</f>
        <v/>
      </c>
      <c r="Y317">
        <f>HYPERLINK("https://klasma.github.io/Logging_2480/tillsynsmail/A 9245-2022 tillsynsbegäran mail.docx", "A 9245-2022")</f>
        <v/>
      </c>
      <c r="Z317">
        <f>HYPERLINK("https://klasma.github.io/Logging_2480/fåglar/A 9245-2022 prioriterade fågelarter.docx", "A 9245-2022")</f>
        <v/>
      </c>
    </row>
    <row r="318" ht="15" customHeight="1">
      <c r="A318" t="inlineStr">
        <is>
          <t>A 9327-2022</t>
        </is>
      </c>
      <c r="B318" s="1" t="n">
        <v>44616</v>
      </c>
      <c r="C318" s="1" t="n">
        <v>45788</v>
      </c>
      <c r="D318" t="inlineStr">
        <is>
          <t>VÄSTERBOTTENS LÄN</t>
        </is>
      </c>
      <c r="E318" t="inlineStr">
        <is>
          <t>LYCKSELE</t>
        </is>
      </c>
      <c r="G318" t="n">
        <v>10.1</v>
      </c>
      <c r="H318" t="n">
        <v>4</v>
      </c>
      <c r="I318" t="n">
        <v>0</v>
      </c>
      <c r="J318" t="n">
        <v>6</v>
      </c>
      <c r="K318" t="n">
        <v>1</v>
      </c>
      <c r="L318" t="n">
        <v>0</v>
      </c>
      <c r="M318" t="n">
        <v>0</v>
      </c>
      <c r="N318" t="n">
        <v>0</v>
      </c>
      <c r="O318" t="n">
        <v>7</v>
      </c>
      <c r="P318" t="n">
        <v>1</v>
      </c>
      <c r="Q318" t="n">
        <v>8</v>
      </c>
      <c r="R318" s="2" t="inlineStr">
        <is>
          <t>Rynkskinn
Garnlav
Granticka
Spillkråka
Talltita
Tretåig hackspett
Ullticka
Fläcknycklar</t>
        </is>
      </c>
      <c r="S318">
        <f>HYPERLINK("https://klasma.github.io/Logging_2481/artfynd/A 9327-2022 artfynd.xlsx", "A 9327-2022")</f>
        <v/>
      </c>
      <c r="T318">
        <f>HYPERLINK("https://klasma.github.io/Logging_2481/kartor/A 9327-2022 karta.png", "A 9327-2022")</f>
        <v/>
      </c>
      <c r="V318">
        <f>HYPERLINK("https://klasma.github.io/Logging_2481/klagomål/A 9327-2022 FSC-klagomål.docx", "A 9327-2022")</f>
        <v/>
      </c>
      <c r="W318">
        <f>HYPERLINK("https://klasma.github.io/Logging_2481/klagomålsmail/A 9327-2022 FSC-klagomål mail.docx", "A 9327-2022")</f>
        <v/>
      </c>
      <c r="X318">
        <f>HYPERLINK("https://klasma.github.io/Logging_2481/tillsyn/A 9327-2022 tillsynsbegäran.docx", "A 9327-2022")</f>
        <v/>
      </c>
      <c r="Y318">
        <f>HYPERLINK("https://klasma.github.io/Logging_2481/tillsynsmail/A 9327-2022 tillsynsbegäran mail.docx", "A 9327-2022")</f>
        <v/>
      </c>
      <c r="Z318">
        <f>HYPERLINK("https://klasma.github.io/Logging_2481/fåglar/A 9327-2022 prioriterade fågelarter.docx", "A 9327-2022")</f>
        <v/>
      </c>
    </row>
    <row r="319" ht="15" customHeight="1">
      <c r="A319" t="inlineStr">
        <is>
          <t>A 26191-2022</t>
        </is>
      </c>
      <c r="B319" s="1" t="n">
        <v>44735</v>
      </c>
      <c r="C319" s="1" t="n">
        <v>45788</v>
      </c>
      <c r="D319" t="inlineStr">
        <is>
          <t>VÄSTERBOTTENS LÄN</t>
        </is>
      </c>
      <c r="E319" t="inlineStr">
        <is>
          <t>VILHELMINA</t>
        </is>
      </c>
      <c r="G319" t="n">
        <v>42.1</v>
      </c>
      <c r="H319" t="n">
        <v>2</v>
      </c>
      <c r="I319" t="n">
        <v>0</v>
      </c>
      <c r="J319" t="n">
        <v>8</v>
      </c>
      <c r="K319" t="n">
        <v>0</v>
      </c>
      <c r="L319" t="n">
        <v>0</v>
      </c>
      <c r="M319" t="n">
        <v>0</v>
      </c>
      <c r="N319" t="n">
        <v>0</v>
      </c>
      <c r="O319" t="n">
        <v>8</v>
      </c>
      <c r="P319" t="n">
        <v>0</v>
      </c>
      <c r="Q319" t="n">
        <v>8</v>
      </c>
      <c r="R319" s="2" t="inlineStr">
        <is>
          <t>Gammelgransskål
Garnlav
Granticka
Rosenticka
Rödbrun blekspik
Talltita
Tretåig hackspett
Ullticka</t>
        </is>
      </c>
      <c r="S319">
        <f>HYPERLINK("https://klasma.github.io/Logging_2462/artfynd/A 26191-2022 artfynd.xlsx", "A 26191-2022")</f>
        <v/>
      </c>
      <c r="T319">
        <f>HYPERLINK("https://klasma.github.io/Logging_2462/kartor/A 26191-2022 karta.png", "A 26191-2022")</f>
        <v/>
      </c>
      <c r="V319">
        <f>HYPERLINK("https://klasma.github.io/Logging_2462/klagomål/A 26191-2022 FSC-klagomål.docx", "A 26191-2022")</f>
        <v/>
      </c>
      <c r="W319">
        <f>HYPERLINK("https://klasma.github.io/Logging_2462/klagomålsmail/A 26191-2022 FSC-klagomål mail.docx", "A 26191-2022")</f>
        <v/>
      </c>
      <c r="X319">
        <f>HYPERLINK("https://klasma.github.io/Logging_2462/tillsyn/A 26191-2022 tillsynsbegäran.docx", "A 26191-2022")</f>
        <v/>
      </c>
      <c r="Y319">
        <f>HYPERLINK("https://klasma.github.io/Logging_2462/tillsynsmail/A 26191-2022 tillsynsbegäran mail.docx", "A 26191-2022")</f>
        <v/>
      </c>
      <c r="Z319">
        <f>HYPERLINK("https://klasma.github.io/Logging_2462/fåglar/A 26191-2022 prioriterade fågelarter.docx", "A 26191-2022")</f>
        <v/>
      </c>
    </row>
    <row r="320" ht="15" customHeight="1">
      <c r="A320" t="inlineStr">
        <is>
          <t>A 41407-2022</t>
        </is>
      </c>
      <c r="B320" s="1" t="n">
        <v>44826</v>
      </c>
      <c r="C320" s="1" t="n">
        <v>45788</v>
      </c>
      <c r="D320" t="inlineStr">
        <is>
          <t>VÄSTERBOTTENS LÄN</t>
        </is>
      </c>
      <c r="E320" t="inlineStr">
        <is>
          <t>UMEÅ</t>
        </is>
      </c>
      <c r="G320" t="n">
        <v>5.6</v>
      </c>
      <c r="H320" t="n">
        <v>2</v>
      </c>
      <c r="I320" t="n">
        <v>1</v>
      </c>
      <c r="J320" t="n">
        <v>7</v>
      </c>
      <c r="K320" t="n">
        <v>0</v>
      </c>
      <c r="L320" t="n">
        <v>0</v>
      </c>
      <c r="M320" t="n">
        <v>0</v>
      </c>
      <c r="N320" t="n">
        <v>0</v>
      </c>
      <c r="O320" t="n">
        <v>7</v>
      </c>
      <c r="P320" t="n">
        <v>0</v>
      </c>
      <c r="Q320" t="n">
        <v>8</v>
      </c>
      <c r="R320" s="2" t="inlineStr">
        <is>
          <t>Garnlav
Leptoporus mollis
Rosenticka
Spillkråka
Stjärntagging
Tretåig hackspett
Ullticka
Vedticka</t>
        </is>
      </c>
      <c r="S320">
        <f>HYPERLINK("https://klasma.github.io/Logging_2480/artfynd/A 41407-2022 artfynd.xlsx", "A 41407-2022")</f>
        <v/>
      </c>
      <c r="T320">
        <f>HYPERLINK("https://klasma.github.io/Logging_2480/kartor/A 41407-2022 karta.png", "A 41407-2022")</f>
        <v/>
      </c>
      <c r="V320">
        <f>HYPERLINK("https://klasma.github.io/Logging_2480/klagomål/A 41407-2022 FSC-klagomål.docx", "A 41407-2022")</f>
        <v/>
      </c>
      <c r="W320">
        <f>HYPERLINK("https://klasma.github.io/Logging_2480/klagomålsmail/A 41407-2022 FSC-klagomål mail.docx", "A 41407-2022")</f>
        <v/>
      </c>
      <c r="X320">
        <f>HYPERLINK("https://klasma.github.io/Logging_2480/tillsyn/A 41407-2022 tillsynsbegäran.docx", "A 41407-2022")</f>
        <v/>
      </c>
      <c r="Y320">
        <f>HYPERLINK("https://klasma.github.io/Logging_2480/tillsynsmail/A 41407-2022 tillsynsbegäran mail.docx", "A 41407-2022")</f>
        <v/>
      </c>
      <c r="Z320">
        <f>HYPERLINK("https://klasma.github.io/Logging_2480/fåglar/A 41407-2022 prioriterade fågelarter.docx", "A 41407-2022")</f>
        <v/>
      </c>
    </row>
    <row r="321" ht="15" customHeight="1">
      <c r="A321" t="inlineStr">
        <is>
          <t>A 45364-2022</t>
        </is>
      </c>
      <c r="B321" s="1" t="n">
        <v>44841</v>
      </c>
      <c r="C321" s="1" t="n">
        <v>45788</v>
      </c>
      <c r="D321" t="inlineStr">
        <is>
          <t>VÄSTERBOTTENS LÄN</t>
        </is>
      </c>
      <c r="E321" t="inlineStr">
        <is>
          <t>STORUMAN</t>
        </is>
      </c>
      <c r="G321" t="n">
        <v>19.1</v>
      </c>
      <c r="H321" t="n">
        <v>2</v>
      </c>
      <c r="I321" t="n">
        <v>1</v>
      </c>
      <c r="J321" t="n">
        <v>7</v>
      </c>
      <c r="K321" t="n">
        <v>0</v>
      </c>
      <c r="L321" t="n">
        <v>0</v>
      </c>
      <c r="M321" t="n">
        <v>0</v>
      </c>
      <c r="N321" t="n">
        <v>0</v>
      </c>
      <c r="O321" t="n">
        <v>7</v>
      </c>
      <c r="P321" t="n">
        <v>0</v>
      </c>
      <c r="Q321" t="n">
        <v>8</v>
      </c>
      <c r="R321" s="2" t="inlineStr">
        <is>
          <t>Doftskinn
Gammelgransskål
Garnlav
Granticka
Harticka
Rosenticka
Tretåig hackspett
Spindelblomster</t>
        </is>
      </c>
      <c r="S321">
        <f>HYPERLINK("https://klasma.github.io/Logging_2421/artfynd/A 45364-2022 artfynd.xlsx", "A 45364-2022")</f>
        <v/>
      </c>
      <c r="T321">
        <f>HYPERLINK("https://klasma.github.io/Logging_2421/kartor/A 45364-2022 karta.png", "A 45364-2022")</f>
        <v/>
      </c>
      <c r="V321">
        <f>HYPERLINK("https://klasma.github.io/Logging_2421/klagomål/A 45364-2022 FSC-klagomål.docx", "A 45364-2022")</f>
        <v/>
      </c>
      <c r="W321">
        <f>HYPERLINK("https://klasma.github.io/Logging_2421/klagomålsmail/A 45364-2022 FSC-klagomål mail.docx", "A 45364-2022")</f>
        <v/>
      </c>
      <c r="X321">
        <f>HYPERLINK("https://klasma.github.io/Logging_2421/tillsyn/A 45364-2022 tillsynsbegäran.docx", "A 45364-2022")</f>
        <v/>
      </c>
      <c r="Y321">
        <f>HYPERLINK("https://klasma.github.io/Logging_2421/tillsynsmail/A 45364-2022 tillsynsbegäran mail.docx", "A 45364-2022")</f>
        <v/>
      </c>
      <c r="Z321">
        <f>HYPERLINK("https://klasma.github.io/Logging_2421/fåglar/A 45364-2022 prioriterade fågelarter.docx", "A 45364-2022")</f>
        <v/>
      </c>
    </row>
    <row r="322" ht="15" customHeight="1">
      <c r="A322" t="inlineStr">
        <is>
          <t>A 15738-2023</t>
        </is>
      </c>
      <c r="B322" s="1" t="n">
        <v>45020</v>
      </c>
      <c r="C322" s="1" t="n">
        <v>45788</v>
      </c>
      <c r="D322" t="inlineStr">
        <is>
          <t>VÄSTERBOTTENS LÄN</t>
        </is>
      </c>
      <c r="E322" t="inlineStr">
        <is>
          <t>UMEÅ</t>
        </is>
      </c>
      <c r="F322" t="inlineStr">
        <is>
          <t>Kommuner</t>
        </is>
      </c>
      <c r="G322" t="n">
        <v>2.9</v>
      </c>
      <c r="H322" t="n">
        <v>0</v>
      </c>
      <c r="I322" t="n">
        <v>3</v>
      </c>
      <c r="J322" t="n">
        <v>4</v>
      </c>
      <c r="K322" t="n">
        <v>1</v>
      </c>
      <c r="L322" t="n">
        <v>0</v>
      </c>
      <c r="M322" t="n">
        <v>0</v>
      </c>
      <c r="N322" t="n">
        <v>0</v>
      </c>
      <c r="O322" t="n">
        <v>5</v>
      </c>
      <c r="P322" t="n">
        <v>1</v>
      </c>
      <c r="Q322" t="n">
        <v>8</v>
      </c>
      <c r="R322" s="2" t="inlineStr">
        <is>
          <t>Goliatmusseron
Blå taggsvamp
Orange taggsvamp
Svart taggsvamp
Svartvit taggsvamp
Dropptaggsvamp
Skarp dropptaggsvamp
Zontaggsvamp</t>
        </is>
      </c>
      <c r="S322">
        <f>HYPERLINK("https://klasma.github.io/Logging_2480/artfynd/A 15738-2023 artfynd.xlsx", "A 15738-2023")</f>
        <v/>
      </c>
      <c r="T322">
        <f>HYPERLINK("https://klasma.github.io/Logging_2480/kartor/A 15738-2023 karta.png", "A 15738-2023")</f>
        <v/>
      </c>
      <c r="V322">
        <f>HYPERLINK("https://klasma.github.io/Logging_2480/klagomål/A 15738-2023 FSC-klagomål.docx", "A 15738-2023")</f>
        <v/>
      </c>
      <c r="W322">
        <f>HYPERLINK("https://klasma.github.io/Logging_2480/klagomålsmail/A 15738-2023 FSC-klagomål mail.docx", "A 15738-2023")</f>
        <v/>
      </c>
      <c r="X322">
        <f>HYPERLINK("https://klasma.github.io/Logging_2480/tillsyn/A 15738-2023 tillsynsbegäran.docx", "A 15738-2023")</f>
        <v/>
      </c>
      <c r="Y322">
        <f>HYPERLINK("https://klasma.github.io/Logging_2480/tillsynsmail/A 15738-2023 tillsynsbegäran mail.docx", "A 15738-2023")</f>
        <v/>
      </c>
    </row>
    <row r="323" ht="15" customHeight="1">
      <c r="A323" t="inlineStr">
        <is>
          <t>A 19608-2023</t>
        </is>
      </c>
      <c r="B323" s="1" t="n">
        <v>45051</v>
      </c>
      <c r="C323" s="1" t="n">
        <v>45788</v>
      </c>
      <c r="D323" t="inlineStr">
        <is>
          <t>VÄSTERBOTTENS LÄN</t>
        </is>
      </c>
      <c r="E323" t="inlineStr">
        <is>
          <t>SKELLEFTEÅ</t>
        </is>
      </c>
      <c r="G323" t="n">
        <v>5.4</v>
      </c>
      <c r="H323" t="n">
        <v>1</v>
      </c>
      <c r="I323" t="n">
        <v>3</v>
      </c>
      <c r="J323" t="n">
        <v>5</v>
      </c>
      <c r="K323" t="n">
        <v>0</v>
      </c>
      <c r="L323" t="n">
        <v>0</v>
      </c>
      <c r="M323" t="n">
        <v>0</v>
      </c>
      <c r="N323" t="n">
        <v>0</v>
      </c>
      <c r="O323" t="n">
        <v>5</v>
      </c>
      <c r="P323" t="n">
        <v>0</v>
      </c>
      <c r="Q323" t="n">
        <v>8</v>
      </c>
      <c r="R323" s="2" t="inlineStr">
        <is>
          <t>Blanksvart spiklav
Blå taggsvamp
Garnlav
Talltita
Vedskivlav
Dropptaggsvamp
Skarp dropptaggsvamp
Tallfingersvamp</t>
        </is>
      </c>
      <c r="S323">
        <f>HYPERLINK("https://klasma.github.io/Logging_2482/artfynd/A 19608-2023 artfynd.xlsx", "A 19608-2023")</f>
        <v/>
      </c>
      <c r="T323">
        <f>HYPERLINK("https://klasma.github.io/Logging_2482/kartor/A 19608-2023 karta.png", "A 19608-2023")</f>
        <v/>
      </c>
      <c r="V323">
        <f>HYPERLINK("https://klasma.github.io/Logging_2482/klagomål/A 19608-2023 FSC-klagomål.docx", "A 19608-2023")</f>
        <v/>
      </c>
      <c r="W323">
        <f>HYPERLINK("https://klasma.github.io/Logging_2482/klagomålsmail/A 19608-2023 FSC-klagomål mail.docx", "A 19608-2023")</f>
        <v/>
      </c>
      <c r="X323">
        <f>HYPERLINK("https://klasma.github.io/Logging_2482/tillsyn/A 19608-2023 tillsynsbegäran.docx", "A 19608-2023")</f>
        <v/>
      </c>
      <c r="Y323">
        <f>HYPERLINK("https://klasma.github.io/Logging_2482/tillsynsmail/A 19608-2023 tillsynsbegäran mail.docx", "A 19608-2023")</f>
        <v/>
      </c>
      <c r="Z323">
        <f>HYPERLINK("https://klasma.github.io/Logging_2482/fåglar/A 19608-2023 prioriterade fågelarter.docx", "A 19608-2023")</f>
        <v/>
      </c>
    </row>
    <row r="324" ht="15" customHeight="1">
      <c r="A324" t="inlineStr">
        <is>
          <t>A 21553-2023</t>
        </is>
      </c>
      <c r="B324" s="1" t="n">
        <v>45061</v>
      </c>
      <c r="C324" s="1" t="n">
        <v>45788</v>
      </c>
      <c r="D324" t="inlineStr">
        <is>
          <t>VÄSTERBOTTENS LÄN</t>
        </is>
      </c>
      <c r="E324" t="inlineStr">
        <is>
          <t>SKELLEFTEÅ</t>
        </is>
      </c>
      <c r="G324" t="n">
        <v>14.6</v>
      </c>
      <c r="H324" t="n">
        <v>0</v>
      </c>
      <c r="I324" t="n">
        <v>2</v>
      </c>
      <c r="J324" t="n">
        <v>3</v>
      </c>
      <c r="K324" t="n">
        <v>3</v>
      </c>
      <c r="L324" t="n">
        <v>0</v>
      </c>
      <c r="M324" t="n">
        <v>0</v>
      </c>
      <c r="N324" t="n">
        <v>0</v>
      </c>
      <c r="O324" t="n">
        <v>6</v>
      </c>
      <c r="P324" t="n">
        <v>3</v>
      </c>
      <c r="Q324" t="n">
        <v>8</v>
      </c>
      <c r="R324" s="2" t="inlineStr">
        <is>
          <t>Goliatmusseron
Lakritsmusseron
Lammticka
Blå taggsvamp
Skrovlig taggsvamp
Tallriska
Dropptaggsvamp
Skarp dropptaggsvamp</t>
        </is>
      </c>
      <c r="S324">
        <f>HYPERLINK("https://klasma.github.io/Logging_2482/artfynd/A 21553-2023 artfynd.xlsx", "A 21553-2023")</f>
        <v/>
      </c>
      <c r="T324">
        <f>HYPERLINK("https://klasma.github.io/Logging_2482/kartor/A 21553-2023 karta.png", "A 21553-2023")</f>
        <v/>
      </c>
      <c r="V324">
        <f>HYPERLINK("https://klasma.github.io/Logging_2482/klagomål/A 21553-2023 FSC-klagomål.docx", "A 21553-2023")</f>
        <v/>
      </c>
      <c r="W324">
        <f>HYPERLINK("https://klasma.github.io/Logging_2482/klagomålsmail/A 21553-2023 FSC-klagomål mail.docx", "A 21553-2023")</f>
        <v/>
      </c>
      <c r="X324">
        <f>HYPERLINK("https://klasma.github.io/Logging_2482/tillsyn/A 21553-2023 tillsynsbegäran.docx", "A 21553-2023")</f>
        <v/>
      </c>
      <c r="Y324">
        <f>HYPERLINK("https://klasma.github.io/Logging_2482/tillsynsmail/A 21553-2023 tillsynsbegäran mail.docx", "A 21553-2023")</f>
        <v/>
      </c>
    </row>
    <row r="325" ht="15" customHeight="1">
      <c r="A325" t="inlineStr">
        <is>
          <t>A 28001-2023</t>
        </is>
      </c>
      <c r="B325" s="1" t="n">
        <v>45098</v>
      </c>
      <c r="C325" s="1" t="n">
        <v>45788</v>
      </c>
      <c r="D325" t="inlineStr">
        <is>
          <t>VÄSTERBOTTENS LÄN</t>
        </is>
      </c>
      <c r="E325" t="inlineStr">
        <is>
          <t>STORUMAN</t>
        </is>
      </c>
      <c r="G325" t="n">
        <v>14.2</v>
      </c>
      <c r="H325" t="n">
        <v>1</v>
      </c>
      <c r="I325" t="n">
        <v>1</v>
      </c>
      <c r="J325" t="n">
        <v>7</v>
      </c>
      <c r="K325" t="n">
        <v>0</v>
      </c>
      <c r="L325" t="n">
        <v>0</v>
      </c>
      <c r="M325" t="n">
        <v>0</v>
      </c>
      <c r="N325" t="n">
        <v>0</v>
      </c>
      <c r="O325" t="n">
        <v>7</v>
      </c>
      <c r="P325" t="n">
        <v>0</v>
      </c>
      <c r="Q325" t="n">
        <v>8</v>
      </c>
      <c r="R325" s="2" t="inlineStr">
        <is>
          <t>Blå taggsvamp
Doftskinn
Garnlav
Mörk kolflarnlav
Skrovlig taggsvamp
Spillkråka
Ullticka
Dropptaggsvamp</t>
        </is>
      </c>
      <c r="S325">
        <f>HYPERLINK("https://klasma.github.io/Logging_2421/artfynd/A 28001-2023 artfynd.xlsx", "A 28001-2023")</f>
        <v/>
      </c>
      <c r="T325">
        <f>HYPERLINK("https://klasma.github.io/Logging_2421/kartor/A 28001-2023 karta.png", "A 28001-2023")</f>
        <v/>
      </c>
      <c r="V325">
        <f>HYPERLINK("https://klasma.github.io/Logging_2421/klagomål/A 28001-2023 FSC-klagomål.docx", "A 28001-2023")</f>
        <v/>
      </c>
      <c r="W325">
        <f>HYPERLINK("https://klasma.github.io/Logging_2421/klagomålsmail/A 28001-2023 FSC-klagomål mail.docx", "A 28001-2023")</f>
        <v/>
      </c>
      <c r="X325">
        <f>HYPERLINK("https://klasma.github.io/Logging_2421/tillsyn/A 28001-2023 tillsynsbegäran.docx", "A 28001-2023")</f>
        <v/>
      </c>
      <c r="Y325">
        <f>HYPERLINK("https://klasma.github.io/Logging_2421/tillsynsmail/A 28001-2023 tillsynsbegäran mail.docx", "A 28001-2023")</f>
        <v/>
      </c>
      <c r="Z325">
        <f>HYPERLINK("https://klasma.github.io/Logging_2421/fåglar/A 28001-2023 prioriterade fågelarter.docx", "A 28001-2023")</f>
        <v/>
      </c>
    </row>
    <row r="326" ht="15" customHeight="1">
      <c r="A326" t="inlineStr">
        <is>
          <t>A 36220-2023</t>
        </is>
      </c>
      <c r="B326" s="1" t="n">
        <v>45149</v>
      </c>
      <c r="C326" s="1" t="n">
        <v>45788</v>
      </c>
      <c r="D326" t="inlineStr">
        <is>
          <t>VÄSTERBOTTENS LÄN</t>
        </is>
      </c>
      <c r="E326" t="inlineStr">
        <is>
          <t>VILHELMINA</t>
        </is>
      </c>
      <c r="F326" t="inlineStr">
        <is>
          <t>SCA</t>
        </is>
      </c>
      <c r="G326" t="n">
        <v>3.8</v>
      </c>
      <c r="H326" t="n">
        <v>2</v>
      </c>
      <c r="I326" t="n">
        <v>2</v>
      </c>
      <c r="J326" t="n">
        <v>6</v>
      </c>
      <c r="K326" t="n">
        <v>0</v>
      </c>
      <c r="L326" t="n">
        <v>0</v>
      </c>
      <c r="M326" t="n">
        <v>0</v>
      </c>
      <c r="N326" t="n">
        <v>0</v>
      </c>
      <c r="O326" t="n">
        <v>6</v>
      </c>
      <c r="P326" t="n">
        <v>0</v>
      </c>
      <c r="Q326" t="n">
        <v>8</v>
      </c>
      <c r="R326" s="2" t="inlineStr">
        <is>
          <t>Garnlav
Lunglav
Rödbrun blekspik
Skrovellav
Talltita
Tretåig hackspett
Korallblylav
Stuplav</t>
        </is>
      </c>
      <c r="S326">
        <f>HYPERLINK("https://klasma.github.io/Logging_2462/artfynd/A 36220-2023 artfynd.xlsx", "A 36220-2023")</f>
        <v/>
      </c>
      <c r="T326">
        <f>HYPERLINK("https://klasma.github.io/Logging_2462/kartor/A 36220-2023 karta.png", "A 36220-2023")</f>
        <v/>
      </c>
      <c r="V326">
        <f>HYPERLINK("https://klasma.github.io/Logging_2462/klagomål/A 36220-2023 FSC-klagomål.docx", "A 36220-2023")</f>
        <v/>
      </c>
      <c r="W326">
        <f>HYPERLINK("https://klasma.github.io/Logging_2462/klagomålsmail/A 36220-2023 FSC-klagomål mail.docx", "A 36220-2023")</f>
        <v/>
      </c>
      <c r="X326">
        <f>HYPERLINK("https://klasma.github.io/Logging_2462/tillsyn/A 36220-2023 tillsynsbegäran.docx", "A 36220-2023")</f>
        <v/>
      </c>
      <c r="Y326">
        <f>HYPERLINK("https://klasma.github.io/Logging_2462/tillsynsmail/A 36220-2023 tillsynsbegäran mail.docx", "A 36220-2023")</f>
        <v/>
      </c>
      <c r="Z326">
        <f>HYPERLINK("https://klasma.github.io/Logging_2462/fåglar/A 36220-2023 prioriterade fågelarter.docx", "A 36220-2023")</f>
        <v/>
      </c>
    </row>
    <row r="327" ht="15" customHeight="1">
      <c r="A327" t="inlineStr">
        <is>
          <t>A 36650-2023</t>
        </is>
      </c>
      <c r="B327" s="1" t="n">
        <v>45152</v>
      </c>
      <c r="C327" s="1" t="n">
        <v>45788</v>
      </c>
      <c r="D327" t="inlineStr">
        <is>
          <t>VÄSTERBOTTENS LÄN</t>
        </is>
      </c>
      <c r="E327" t="inlineStr">
        <is>
          <t>LYCKSELE</t>
        </is>
      </c>
      <c r="G327" t="n">
        <v>6.8</v>
      </c>
      <c r="H327" t="n">
        <v>2</v>
      </c>
      <c r="I327" t="n">
        <v>2</v>
      </c>
      <c r="J327" t="n">
        <v>5</v>
      </c>
      <c r="K327" t="n">
        <v>0</v>
      </c>
      <c r="L327" t="n">
        <v>0</v>
      </c>
      <c r="M327" t="n">
        <v>0</v>
      </c>
      <c r="N327" t="n">
        <v>0</v>
      </c>
      <c r="O327" t="n">
        <v>5</v>
      </c>
      <c r="P327" t="n">
        <v>0</v>
      </c>
      <c r="Q327" t="n">
        <v>8</v>
      </c>
      <c r="R327" s="2" t="inlineStr">
        <is>
          <t>Doftskinn
Garnlav
Granticka
Lunglav
Tretåig hackspett
Norrlandslav
Skinnlav
Revlummer</t>
        </is>
      </c>
      <c r="S327">
        <f>HYPERLINK("https://klasma.github.io/Logging_2481/artfynd/A 36650-2023 artfynd.xlsx", "A 36650-2023")</f>
        <v/>
      </c>
      <c r="T327">
        <f>HYPERLINK("https://klasma.github.io/Logging_2481/kartor/A 36650-2023 karta.png", "A 36650-2023")</f>
        <v/>
      </c>
      <c r="V327">
        <f>HYPERLINK("https://klasma.github.io/Logging_2481/klagomål/A 36650-2023 FSC-klagomål.docx", "A 36650-2023")</f>
        <v/>
      </c>
      <c r="W327">
        <f>HYPERLINK("https://klasma.github.io/Logging_2481/klagomålsmail/A 36650-2023 FSC-klagomål mail.docx", "A 36650-2023")</f>
        <v/>
      </c>
      <c r="X327">
        <f>HYPERLINK("https://klasma.github.io/Logging_2481/tillsyn/A 36650-2023 tillsynsbegäran.docx", "A 36650-2023")</f>
        <v/>
      </c>
      <c r="Y327">
        <f>HYPERLINK("https://klasma.github.io/Logging_2481/tillsynsmail/A 36650-2023 tillsynsbegäran mail.docx", "A 36650-2023")</f>
        <v/>
      </c>
      <c r="Z327">
        <f>HYPERLINK("https://klasma.github.io/Logging_2481/fåglar/A 36650-2023 prioriterade fågelarter.docx", "A 36650-2023")</f>
        <v/>
      </c>
    </row>
    <row r="328" ht="15" customHeight="1">
      <c r="A328" t="inlineStr">
        <is>
          <t>A 41796-2023</t>
        </is>
      </c>
      <c r="B328" s="1" t="n">
        <v>45176</v>
      </c>
      <c r="C328" s="1" t="n">
        <v>45788</v>
      </c>
      <c r="D328" t="inlineStr">
        <is>
          <t>VÄSTERBOTTENS LÄN</t>
        </is>
      </c>
      <c r="E328" t="inlineStr">
        <is>
          <t>ROBERTSFORS</t>
        </is>
      </c>
      <c r="G328" t="n">
        <v>7.9</v>
      </c>
      <c r="H328" t="n">
        <v>3</v>
      </c>
      <c r="I328" t="n">
        <v>3</v>
      </c>
      <c r="J328" t="n">
        <v>3</v>
      </c>
      <c r="K328" t="n">
        <v>0</v>
      </c>
      <c r="L328" t="n">
        <v>0</v>
      </c>
      <c r="M328" t="n">
        <v>0</v>
      </c>
      <c r="N328" t="n">
        <v>0</v>
      </c>
      <c r="O328" t="n">
        <v>3</v>
      </c>
      <c r="P328" t="n">
        <v>0</v>
      </c>
      <c r="Q328" t="n">
        <v>8</v>
      </c>
      <c r="R328" s="2" t="inlineStr">
        <is>
          <t>Blanksvart spiklav
Gammelgransskål
Motaggsvamp
Korallrot
Skinnlav
Stuplav
Fläcknycklar
Revlummer</t>
        </is>
      </c>
      <c r="S328">
        <f>HYPERLINK("https://klasma.github.io/Logging_2409/artfynd/A 41796-2023 artfynd.xlsx", "A 41796-2023")</f>
        <v/>
      </c>
      <c r="T328">
        <f>HYPERLINK("https://klasma.github.io/Logging_2409/kartor/A 41796-2023 karta.png", "A 41796-2023")</f>
        <v/>
      </c>
      <c r="V328">
        <f>HYPERLINK("https://klasma.github.io/Logging_2409/klagomål/A 41796-2023 FSC-klagomål.docx", "A 41796-2023")</f>
        <v/>
      </c>
      <c r="W328">
        <f>HYPERLINK("https://klasma.github.io/Logging_2409/klagomålsmail/A 41796-2023 FSC-klagomål mail.docx", "A 41796-2023")</f>
        <v/>
      </c>
      <c r="X328">
        <f>HYPERLINK("https://klasma.github.io/Logging_2409/tillsyn/A 41796-2023 tillsynsbegäran.docx", "A 41796-2023")</f>
        <v/>
      </c>
      <c r="Y328">
        <f>HYPERLINK("https://klasma.github.io/Logging_2409/tillsynsmail/A 41796-2023 tillsynsbegäran mail.docx", "A 41796-2023")</f>
        <v/>
      </c>
    </row>
    <row r="329" ht="15" customHeight="1">
      <c r="A329" t="inlineStr">
        <is>
          <t>A 48369-2023</t>
        </is>
      </c>
      <c r="B329" s="1" t="n">
        <v>45201</v>
      </c>
      <c r="C329" s="1" t="n">
        <v>45788</v>
      </c>
      <c r="D329" t="inlineStr">
        <is>
          <t>VÄSTERBOTTENS LÄN</t>
        </is>
      </c>
      <c r="E329" t="inlineStr">
        <is>
          <t>ÅSELE</t>
        </is>
      </c>
      <c r="G329" t="n">
        <v>2.4</v>
      </c>
      <c r="H329" t="n">
        <v>1</v>
      </c>
      <c r="I329" t="n">
        <v>2</v>
      </c>
      <c r="J329" t="n">
        <v>6</v>
      </c>
      <c r="K329" t="n">
        <v>0</v>
      </c>
      <c r="L329" t="n">
        <v>0</v>
      </c>
      <c r="M329" t="n">
        <v>0</v>
      </c>
      <c r="N329" t="n">
        <v>0</v>
      </c>
      <c r="O329" t="n">
        <v>6</v>
      </c>
      <c r="P329" t="n">
        <v>0</v>
      </c>
      <c r="Q329" t="n">
        <v>8</v>
      </c>
      <c r="R329" s="2" t="inlineStr">
        <is>
          <t>Doftskinn
Gammelgransskål
Garnlav
Granticka
Talltita
Äggvaxskivling
Stuplav
Vedticka</t>
        </is>
      </c>
      <c r="S329">
        <f>HYPERLINK("https://klasma.github.io/Logging_2463/artfynd/A 48369-2023 artfynd.xlsx", "A 48369-2023")</f>
        <v/>
      </c>
      <c r="T329">
        <f>HYPERLINK("https://klasma.github.io/Logging_2463/kartor/A 48369-2023 karta.png", "A 48369-2023")</f>
        <v/>
      </c>
      <c r="V329">
        <f>HYPERLINK("https://klasma.github.io/Logging_2463/klagomål/A 48369-2023 FSC-klagomål.docx", "A 48369-2023")</f>
        <v/>
      </c>
      <c r="W329">
        <f>HYPERLINK("https://klasma.github.io/Logging_2463/klagomålsmail/A 48369-2023 FSC-klagomål mail.docx", "A 48369-2023")</f>
        <v/>
      </c>
      <c r="X329">
        <f>HYPERLINK("https://klasma.github.io/Logging_2463/tillsyn/A 48369-2023 tillsynsbegäran.docx", "A 48369-2023")</f>
        <v/>
      </c>
      <c r="Y329">
        <f>HYPERLINK("https://klasma.github.io/Logging_2463/tillsynsmail/A 48369-2023 tillsynsbegäran mail.docx", "A 48369-2023")</f>
        <v/>
      </c>
      <c r="Z329">
        <f>HYPERLINK("https://klasma.github.io/Logging_2463/fåglar/A 48369-2023 prioriterade fågelarter.docx", "A 48369-2023")</f>
        <v/>
      </c>
    </row>
    <row r="330" ht="15" customHeight="1">
      <c r="A330" t="inlineStr">
        <is>
          <t>A 54046-2023</t>
        </is>
      </c>
      <c r="B330" s="1" t="n">
        <v>45231</v>
      </c>
      <c r="C330" s="1" t="n">
        <v>45788</v>
      </c>
      <c r="D330" t="inlineStr">
        <is>
          <t>VÄSTERBOTTENS LÄN</t>
        </is>
      </c>
      <c r="E330" t="inlineStr">
        <is>
          <t>DOROTEA</t>
        </is>
      </c>
      <c r="F330" t="inlineStr">
        <is>
          <t>SCA</t>
        </is>
      </c>
      <c r="G330" t="n">
        <v>3.8</v>
      </c>
      <c r="H330" t="n">
        <v>1</v>
      </c>
      <c r="I330" t="n">
        <v>2</v>
      </c>
      <c r="J330" t="n">
        <v>6</v>
      </c>
      <c r="K330" t="n">
        <v>0</v>
      </c>
      <c r="L330" t="n">
        <v>0</v>
      </c>
      <c r="M330" t="n">
        <v>0</v>
      </c>
      <c r="N330" t="n">
        <v>0</v>
      </c>
      <c r="O330" t="n">
        <v>6</v>
      </c>
      <c r="P330" t="n">
        <v>0</v>
      </c>
      <c r="Q330" t="n">
        <v>8</v>
      </c>
      <c r="R330" s="2" t="inlineStr">
        <is>
          <t>Garnlav
Granticka
Harticka
Lunglav
Skrovellav
Tretåig hackspett
Rävticka
Stuplav</t>
        </is>
      </c>
      <c r="S330">
        <f>HYPERLINK("https://klasma.github.io/Logging_2425/artfynd/A 54046-2023 artfynd.xlsx", "A 54046-2023")</f>
        <v/>
      </c>
      <c r="T330">
        <f>HYPERLINK("https://klasma.github.io/Logging_2425/kartor/A 54046-2023 karta.png", "A 54046-2023")</f>
        <v/>
      </c>
      <c r="V330">
        <f>HYPERLINK("https://klasma.github.io/Logging_2425/klagomål/A 54046-2023 FSC-klagomål.docx", "A 54046-2023")</f>
        <v/>
      </c>
      <c r="W330">
        <f>HYPERLINK("https://klasma.github.io/Logging_2425/klagomålsmail/A 54046-2023 FSC-klagomål mail.docx", "A 54046-2023")</f>
        <v/>
      </c>
      <c r="X330">
        <f>HYPERLINK("https://klasma.github.io/Logging_2425/tillsyn/A 54046-2023 tillsynsbegäran.docx", "A 54046-2023")</f>
        <v/>
      </c>
      <c r="Y330">
        <f>HYPERLINK("https://klasma.github.io/Logging_2425/tillsynsmail/A 54046-2023 tillsynsbegäran mail.docx", "A 54046-2023")</f>
        <v/>
      </c>
      <c r="Z330">
        <f>HYPERLINK("https://klasma.github.io/Logging_2425/fåglar/A 54046-2023 prioriterade fågelarter.docx", "A 54046-2023")</f>
        <v/>
      </c>
    </row>
    <row r="331" ht="15" customHeight="1">
      <c r="A331" t="inlineStr">
        <is>
          <t>A 60489-2023</t>
        </is>
      </c>
      <c r="B331" s="1" t="n">
        <v>45259</v>
      </c>
      <c r="C331" s="1" t="n">
        <v>45788</v>
      </c>
      <c r="D331" t="inlineStr">
        <is>
          <t>VÄSTERBOTTENS LÄN</t>
        </is>
      </c>
      <c r="E331" t="inlineStr">
        <is>
          <t>BJURHOLM</t>
        </is>
      </c>
      <c r="G331" t="n">
        <v>9</v>
      </c>
      <c r="H331" t="n">
        <v>0</v>
      </c>
      <c r="I331" t="n">
        <v>5</v>
      </c>
      <c r="J331" t="n">
        <v>3</v>
      </c>
      <c r="K331" t="n">
        <v>0</v>
      </c>
      <c r="L331" t="n">
        <v>0</v>
      </c>
      <c r="M331" t="n">
        <v>0</v>
      </c>
      <c r="N331" t="n">
        <v>0</v>
      </c>
      <c r="O331" t="n">
        <v>3</v>
      </c>
      <c r="P331" t="n">
        <v>0</v>
      </c>
      <c r="Q331" t="n">
        <v>8</v>
      </c>
      <c r="R331" s="2" t="inlineStr">
        <is>
          <t>Gammelgransskål
Lunglav
Ullticka
Bårdlav
Luddlav
Skinnlav
Stor aspticka
Stuplav</t>
        </is>
      </c>
      <c r="S331">
        <f>HYPERLINK("https://klasma.github.io/Logging_2403/artfynd/A 60489-2023 artfynd.xlsx", "A 60489-2023")</f>
        <v/>
      </c>
      <c r="T331">
        <f>HYPERLINK("https://klasma.github.io/Logging_2403/kartor/A 60489-2023 karta.png", "A 60489-2023")</f>
        <v/>
      </c>
      <c r="V331">
        <f>HYPERLINK("https://klasma.github.io/Logging_2403/klagomål/A 60489-2023 FSC-klagomål.docx", "A 60489-2023")</f>
        <v/>
      </c>
      <c r="W331">
        <f>HYPERLINK("https://klasma.github.io/Logging_2403/klagomålsmail/A 60489-2023 FSC-klagomål mail.docx", "A 60489-2023")</f>
        <v/>
      </c>
      <c r="X331">
        <f>HYPERLINK("https://klasma.github.io/Logging_2403/tillsyn/A 60489-2023 tillsynsbegäran.docx", "A 60489-2023")</f>
        <v/>
      </c>
      <c r="Y331">
        <f>HYPERLINK("https://klasma.github.io/Logging_2403/tillsynsmail/A 60489-2023 tillsynsbegäran mail.docx", "A 60489-2023")</f>
        <v/>
      </c>
    </row>
    <row r="332" ht="15" customHeight="1">
      <c r="A332" t="inlineStr">
        <is>
          <t>A 64651-2023</t>
        </is>
      </c>
      <c r="B332" s="1" t="n">
        <v>45281</v>
      </c>
      <c r="C332" s="1" t="n">
        <v>45788</v>
      </c>
      <c r="D332" t="inlineStr">
        <is>
          <t>VÄSTERBOTTENS LÄN</t>
        </is>
      </c>
      <c r="E332" t="inlineStr">
        <is>
          <t>ROBERTSFORS</t>
        </is>
      </c>
      <c r="G332" t="n">
        <v>1.9</v>
      </c>
      <c r="H332" t="n">
        <v>1</v>
      </c>
      <c r="I332" t="n">
        <v>2</v>
      </c>
      <c r="J332" t="n">
        <v>6</v>
      </c>
      <c r="K332" t="n">
        <v>0</v>
      </c>
      <c r="L332" t="n">
        <v>0</v>
      </c>
      <c r="M332" t="n">
        <v>0</v>
      </c>
      <c r="N332" t="n">
        <v>0</v>
      </c>
      <c r="O332" t="n">
        <v>6</v>
      </c>
      <c r="P332" t="n">
        <v>0</v>
      </c>
      <c r="Q332" t="n">
        <v>8</v>
      </c>
      <c r="R332" s="2" t="inlineStr">
        <is>
          <t>Gammelgransskål
Garnlav
Granticka
Stjärntagging
Tretåig hackspett
Ullticka
Nästlav
Vedticka</t>
        </is>
      </c>
      <c r="S332">
        <f>HYPERLINK("https://klasma.github.io/Logging_2409/artfynd/A 64651-2023 artfynd.xlsx", "A 64651-2023")</f>
        <v/>
      </c>
      <c r="T332">
        <f>HYPERLINK("https://klasma.github.io/Logging_2409/kartor/A 64651-2023 karta.png", "A 64651-2023")</f>
        <v/>
      </c>
      <c r="V332">
        <f>HYPERLINK("https://klasma.github.io/Logging_2409/klagomål/A 64651-2023 FSC-klagomål.docx", "A 64651-2023")</f>
        <v/>
      </c>
      <c r="W332">
        <f>HYPERLINK("https://klasma.github.io/Logging_2409/klagomålsmail/A 64651-2023 FSC-klagomål mail.docx", "A 64651-2023")</f>
        <v/>
      </c>
      <c r="X332">
        <f>HYPERLINK("https://klasma.github.io/Logging_2409/tillsyn/A 64651-2023 tillsynsbegäran.docx", "A 64651-2023")</f>
        <v/>
      </c>
      <c r="Y332">
        <f>HYPERLINK("https://klasma.github.io/Logging_2409/tillsynsmail/A 64651-2023 tillsynsbegäran mail.docx", "A 64651-2023")</f>
        <v/>
      </c>
      <c r="Z332">
        <f>HYPERLINK("https://klasma.github.io/Logging_2409/fåglar/A 64651-2023 prioriterade fågelarter.docx", "A 64651-2023")</f>
        <v/>
      </c>
    </row>
    <row r="333" ht="15" customHeight="1">
      <c r="A333" t="inlineStr">
        <is>
          <t>A 6948-2024</t>
        </is>
      </c>
      <c r="B333" s="1" t="n">
        <v>45343</v>
      </c>
      <c r="C333" s="1" t="n">
        <v>45788</v>
      </c>
      <c r="D333" t="inlineStr">
        <is>
          <t>VÄSTERBOTTENS LÄN</t>
        </is>
      </c>
      <c r="E333" t="inlineStr">
        <is>
          <t>LYCKSELE</t>
        </is>
      </c>
      <c r="G333" t="n">
        <v>16.6</v>
      </c>
      <c r="H333" t="n">
        <v>0</v>
      </c>
      <c r="I333" t="n">
        <v>1</v>
      </c>
      <c r="J333" t="n">
        <v>4</v>
      </c>
      <c r="K333" t="n">
        <v>3</v>
      </c>
      <c r="L333" t="n">
        <v>0</v>
      </c>
      <c r="M333" t="n">
        <v>0</v>
      </c>
      <c r="N333" t="n">
        <v>0</v>
      </c>
      <c r="O333" t="n">
        <v>7</v>
      </c>
      <c r="P333" t="n">
        <v>3</v>
      </c>
      <c r="Q333" t="n">
        <v>8</v>
      </c>
      <c r="R333" s="2" t="inlineStr">
        <is>
          <t>Smalfotad taggsvamp
Tallmusseron
Torrmusseron
Dvärgbägarlav
Skrovlig taggsvamp
Talltaggsvamp
Vaddporing
Dropptaggsvamp</t>
        </is>
      </c>
      <c r="S333">
        <f>HYPERLINK("https://klasma.github.io/Logging_2481/artfynd/A 6948-2024 artfynd.xlsx", "A 6948-2024")</f>
        <v/>
      </c>
      <c r="T333">
        <f>HYPERLINK("https://klasma.github.io/Logging_2481/kartor/A 6948-2024 karta.png", "A 6948-2024")</f>
        <v/>
      </c>
      <c r="V333">
        <f>HYPERLINK("https://klasma.github.io/Logging_2481/klagomål/A 6948-2024 FSC-klagomål.docx", "A 6948-2024")</f>
        <v/>
      </c>
      <c r="W333">
        <f>HYPERLINK("https://klasma.github.io/Logging_2481/klagomålsmail/A 6948-2024 FSC-klagomål mail.docx", "A 6948-2024")</f>
        <v/>
      </c>
      <c r="X333">
        <f>HYPERLINK("https://klasma.github.io/Logging_2481/tillsyn/A 6948-2024 tillsynsbegäran.docx", "A 6948-2024")</f>
        <v/>
      </c>
      <c r="Y333">
        <f>HYPERLINK("https://klasma.github.io/Logging_2481/tillsynsmail/A 6948-2024 tillsynsbegäran mail.docx", "A 6948-2024")</f>
        <v/>
      </c>
    </row>
    <row r="334" ht="15" customHeight="1">
      <c r="A334" t="inlineStr">
        <is>
          <t>A 10026-2024</t>
        </is>
      </c>
      <c r="B334" s="1" t="n">
        <v>45363</v>
      </c>
      <c r="C334" s="1" t="n">
        <v>45788</v>
      </c>
      <c r="D334" t="inlineStr">
        <is>
          <t>VÄSTERBOTTENS LÄN</t>
        </is>
      </c>
      <c r="E334" t="inlineStr">
        <is>
          <t>NORSJÖ</t>
        </is>
      </c>
      <c r="G334" t="n">
        <v>15.1</v>
      </c>
      <c r="H334" t="n">
        <v>0</v>
      </c>
      <c r="I334" t="n">
        <v>1</v>
      </c>
      <c r="J334" t="n">
        <v>5</v>
      </c>
      <c r="K334" t="n">
        <v>2</v>
      </c>
      <c r="L334" t="n">
        <v>0</v>
      </c>
      <c r="M334" t="n">
        <v>0</v>
      </c>
      <c r="N334" t="n">
        <v>0</v>
      </c>
      <c r="O334" t="n">
        <v>7</v>
      </c>
      <c r="P334" t="n">
        <v>2</v>
      </c>
      <c r="Q334" t="n">
        <v>8</v>
      </c>
      <c r="R334" s="2" t="inlineStr">
        <is>
          <t>Goliatmusseron
Tallgråticka
Blå taggsvamp
Motaggsvamp
Reliktbock
Skrovlig taggsvamp
Talltaggsvamp
Skarp dropptaggsvamp</t>
        </is>
      </c>
      <c r="S334">
        <f>HYPERLINK("https://klasma.github.io/Logging_2417/artfynd/A 10026-2024 artfynd.xlsx", "A 10026-2024")</f>
        <v/>
      </c>
      <c r="T334">
        <f>HYPERLINK("https://klasma.github.io/Logging_2417/kartor/A 10026-2024 karta.png", "A 10026-2024")</f>
        <v/>
      </c>
      <c r="V334">
        <f>HYPERLINK("https://klasma.github.io/Logging_2417/klagomål/A 10026-2024 FSC-klagomål.docx", "A 10026-2024")</f>
        <v/>
      </c>
      <c r="W334">
        <f>HYPERLINK("https://klasma.github.io/Logging_2417/klagomålsmail/A 10026-2024 FSC-klagomål mail.docx", "A 10026-2024")</f>
        <v/>
      </c>
      <c r="X334">
        <f>HYPERLINK("https://klasma.github.io/Logging_2417/tillsyn/A 10026-2024 tillsynsbegäran.docx", "A 10026-2024")</f>
        <v/>
      </c>
      <c r="Y334">
        <f>HYPERLINK("https://klasma.github.io/Logging_2417/tillsynsmail/A 10026-2024 tillsynsbegäran mail.docx", "A 10026-2024")</f>
        <v/>
      </c>
    </row>
    <row r="335" ht="15" customHeight="1">
      <c r="A335" t="inlineStr">
        <is>
          <t>A 17180-2024</t>
        </is>
      </c>
      <c r="B335" s="1" t="n">
        <v>45413</v>
      </c>
      <c r="C335" s="1" t="n">
        <v>45788</v>
      </c>
      <c r="D335" t="inlineStr">
        <is>
          <t>VÄSTERBOTTENS LÄN</t>
        </is>
      </c>
      <c r="E335" t="inlineStr">
        <is>
          <t>DOROTEA</t>
        </is>
      </c>
      <c r="F335" t="inlineStr">
        <is>
          <t>SCA</t>
        </is>
      </c>
      <c r="G335" t="n">
        <v>5.6</v>
      </c>
      <c r="H335" t="n">
        <v>1</v>
      </c>
      <c r="I335" t="n">
        <v>1</v>
      </c>
      <c r="J335" t="n">
        <v>6</v>
      </c>
      <c r="K335" t="n">
        <v>1</v>
      </c>
      <c r="L335" t="n">
        <v>0</v>
      </c>
      <c r="M335" t="n">
        <v>0</v>
      </c>
      <c r="N335" t="n">
        <v>0</v>
      </c>
      <c r="O335" t="n">
        <v>7</v>
      </c>
      <c r="P335" t="n">
        <v>1</v>
      </c>
      <c r="Q335" t="n">
        <v>8</v>
      </c>
      <c r="R335" s="2" t="inlineStr">
        <is>
          <t>Knärot
Garnlav
Granticka
Harticka
Liten svartspik
Ullticka
Vitgrynig nållav
Luddlav</t>
        </is>
      </c>
      <c r="S335">
        <f>HYPERLINK("https://klasma.github.io/Logging_2425/artfynd/A 17180-2024 artfynd.xlsx", "A 17180-2024")</f>
        <v/>
      </c>
      <c r="T335">
        <f>HYPERLINK("https://klasma.github.io/Logging_2425/kartor/A 17180-2024 karta.png", "A 17180-2024")</f>
        <v/>
      </c>
      <c r="U335">
        <f>HYPERLINK("https://klasma.github.io/Logging_2425/knärot/A 17180-2024 karta knärot.png", "A 17180-2024")</f>
        <v/>
      </c>
      <c r="V335">
        <f>HYPERLINK("https://klasma.github.io/Logging_2425/klagomål/A 17180-2024 FSC-klagomål.docx", "A 17180-2024")</f>
        <v/>
      </c>
      <c r="W335">
        <f>HYPERLINK("https://klasma.github.io/Logging_2425/klagomålsmail/A 17180-2024 FSC-klagomål mail.docx", "A 17180-2024")</f>
        <v/>
      </c>
      <c r="X335">
        <f>HYPERLINK("https://klasma.github.io/Logging_2425/tillsyn/A 17180-2024 tillsynsbegäran.docx", "A 17180-2024")</f>
        <v/>
      </c>
      <c r="Y335">
        <f>HYPERLINK("https://klasma.github.io/Logging_2425/tillsynsmail/A 17180-2024 tillsynsbegäran mail.docx", "A 17180-2024")</f>
        <v/>
      </c>
    </row>
    <row r="336" ht="15" customHeight="1">
      <c r="A336" t="inlineStr">
        <is>
          <t>A 25633-2024</t>
        </is>
      </c>
      <c r="B336" s="1" t="n">
        <v>45463</v>
      </c>
      <c r="C336" s="1" t="n">
        <v>45788</v>
      </c>
      <c r="D336" t="inlineStr">
        <is>
          <t>VÄSTERBOTTENS LÄN</t>
        </is>
      </c>
      <c r="E336" t="inlineStr">
        <is>
          <t>ÅSELE</t>
        </is>
      </c>
      <c r="F336" t="inlineStr">
        <is>
          <t>Sveaskog</t>
        </is>
      </c>
      <c r="G336" t="n">
        <v>11.6</v>
      </c>
      <c r="H336" t="n">
        <v>0</v>
      </c>
      <c r="I336" t="n">
        <v>1</v>
      </c>
      <c r="J336" t="n">
        <v>6</v>
      </c>
      <c r="K336" t="n">
        <v>1</v>
      </c>
      <c r="L336" t="n">
        <v>0</v>
      </c>
      <c r="M336" t="n">
        <v>0</v>
      </c>
      <c r="N336" t="n">
        <v>0</v>
      </c>
      <c r="O336" t="n">
        <v>7</v>
      </c>
      <c r="P336" t="n">
        <v>1</v>
      </c>
      <c r="Q336" t="n">
        <v>8</v>
      </c>
      <c r="R336" s="2" t="inlineStr">
        <is>
          <t>Smalfotad taggsvamp
Blågrå svartspik
Gammelgransskål
Garnlav
Kolflarnlav
Mörk kolflarnlav
Vedskivlav
Dropptaggsvamp</t>
        </is>
      </c>
      <c r="S336">
        <f>HYPERLINK("https://klasma.github.io/Logging_2463/artfynd/A 25633-2024 artfynd.xlsx", "A 25633-2024")</f>
        <v/>
      </c>
      <c r="T336">
        <f>HYPERLINK("https://klasma.github.io/Logging_2463/kartor/A 25633-2024 karta.png", "A 25633-2024")</f>
        <v/>
      </c>
      <c r="V336">
        <f>HYPERLINK("https://klasma.github.io/Logging_2463/klagomål/A 25633-2024 FSC-klagomål.docx", "A 25633-2024")</f>
        <v/>
      </c>
      <c r="W336">
        <f>HYPERLINK("https://klasma.github.io/Logging_2463/klagomålsmail/A 25633-2024 FSC-klagomål mail.docx", "A 25633-2024")</f>
        <v/>
      </c>
      <c r="X336">
        <f>HYPERLINK("https://klasma.github.io/Logging_2463/tillsyn/A 25633-2024 tillsynsbegäran.docx", "A 25633-2024")</f>
        <v/>
      </c>
      <c r="Y336">
        <f>HYPERLINK("https://klasma.github.io/Logging_2463/tillsynsmail/A 25633-2024 tillsynsbegäran mail.docx", "A 25633-2024")</f>
        <v/>
      </c>
    </row>
    <row r="337" ht="15" customHeight="1">
      <c r="A337" t="inlineStr">
        <is>
          <t>A 26657-2024</t>
        </is>
      </c>
      <c r="B337" s="1" t="n">
        <v>45470</v>
      </c>
      <c r="C337" s="1" t="n">
        <v>45788</v>
      </c>
      <c r="D337" t="inlineStr">
        <is>
          <t>VÄSTERBOTTENS LÄN</t>
        </is>
      </c>
      <c r="E337" t="inlineStr">
        <is>
          <t>VILHELMINA</t>
        </is>
      </c>
      <c r="F337" t="inlineStr">
        <is>
          <t>SCA</t>
        </is>
      </c>
      <c r="G337" t="n">
        <v>16.4</v>
      </c>
      <c r="H337" t="n">
        <v>0</v>
      </c>
      <c r="I337" t="n">
        <v>1</v>
      </c>
      <c r="J337" t="n">
        <v>6</v>
      </c>
      <c r="K337" t="n">
        <v>1</v>
      </c>
      <c r="L337" t="n">
        <v>0</v>
      </c>
      <c r="M337" t="n">
        <v>0</v>
      </c>
      <c r="N337" t="n">
        <v>0</v>
      </c>
      <c r="O337" t="n">
        <v>7</v>
      </c>
      <c r="P337" t="n">
        <v>1</v>
      </c>
      <c r="Q337" t="n">
        <v>8</v>
      </c>
      <c r="R337" s="2" t="inlineStr">
        <is>
          <t>Rynkskinn
Garnlav
Granticka
Lunglav
Rosenticka
Ullticka
Vitgrynig nållav
Stor aspticka</t>
        </is>
      </c>
      <c r="S337">
        <f>HYPERLINK("https://klasma.github.io/Logging_2462/artfynd/A 26657-2024 artfynd.xlsx", "A 26657-2024")</f>
        <v/>
      </c>
      <c r="T337">
        <f>HYPERLINK("https://klasma.github.io/Logging_2462/kartor/A 26657-2024 karta.png", "A 26657-2024")</f>
        <v/>
      </c>
      <c r="V337">
        <f>HYPERLINK("https://klasma.github.io/Logging_2462/klagomål/A 26657-2024 FSC-klagomål.docx", "A 26657-2024")</f>
        <v/>
      </c>
      <c r="W337">
        <f>HYPERLINK("https://klasma.github.io/Logging_2462/klagomålsmail/A 26657-2024 FSC-klagomål mail.docx", "A 26657-2024")</f>
        <v/>
      </c>
      <c r="X337">
        <f>HYPERLINK("https://klasma.github.io/Logging_2462/tillsyn/A 26657-2024 tillsynsbegäran.docx", "A 26657-2024")</f>
        <v/>
      </c>
      <c r="Y337">
        <f>HYPERLINK("https://klasma.github.io/Logging_2462/tillsynsmail/A 26657-2024 tillsynsbegäran mail.docx", "A 26657-2024")</f>
        <v/>
      </c>
    </row>
    <row r="338" ht="15" customHeight="1">
      <c r="A338" t="inlineStr">
        <is>
          <t>A 27284-2024</t>
        </is>
      </c>
      <c r="B338" s="1" t="n">
        <v>45472</v>
      </c>
      <c r="C338" s="1" t="n">
        <v>45788</v>
      </c>
      <c r="D338" t="inlineStr">
        <is>
          <t>VÄSTERBOTTENS LÄN</t>
        </is>
      </c>
      <c r="E338" t="inlineStr">
        <is>
          <t>NORSJÖ</t>
        </is>
      </c>
      <c r="G338" t="n">
        <v>4</v>
      </c>
      <c r="H338" t="n">
        <v>3</v>
      </c>
      <c r="I338" t="n">
        <v>1</v>
      </c>
      <c r="J338" t="n">
        <v>7</v>
      </c>
      <c r="K338" t="n">
        <v>0</v>
      </c>
      <c r="L338" t="n">
        <v>0</v>
      </c>
      <c r="M338" t="n">
        <v>0</v>
      </c>
      <c r="N338" t="n">
        <v>0</v>
      </c>
      <c r="O338" t="n">
        <v>7</v>
      </c>
      <c r="P338" t="n">
        <v>0</v>
      </c>
      <c r="Q338" t="n">
        <v>8</v>
      </c>
      <c r="R338" s="2" t="inlineStr">
        <is>
          <t>Gammelgransskål
Garnlav
Granticka
Harticka
Järpe
Talltita
Tretåig hackspett
Vedticka</t>
        </is>
      </c>
      <c r="S338">
        <f>HYPERLINK("https://klasma.github.io/Logging_2417/artfynd/A 27284-2024 artfynd.xlsx", "A 27284-2024")</f>
        <v/>
      </c>
      <c r="T338">
        <f>HYPERLINK("https://klasma.github.io/Logging_2417/kartor/A 27284-2024 karta.png", "A 27284-2024")</f>
        <v/>
      </c>
      <c r="V338">
        <f>HYPERLINK("https://klasma.github.io/Logging_2417/klagomål/A 27284-2024 FSC-klagomål.docx", "A 27284-2024")</f>
        <v/>
      </c>
      <c r="W338">
        <f>HYPERLINK("https://klasma.github.io/Logging_2417/klagomålsmail/A 27284-2024 FSC-klagomål mail.docx", "A 27284-2024")</f>
        <v/>
      </c>
      <c r="X338">
        <f>HYPERLINK("https://klasma.github.io/Logging_2417/tillsyn/A 27284-2024 tillsynsbegäran.docx", "A 27284-2024")</f>
        <v/>
      </c>
      <c r="Y338">
        <f>HYPERLINK("https://klasma.github.io/Logging_2417/tillsynsmail/A 27284-2024 tillsynsbegäran mail.docx", "A 27284-2024")</f>
        <v/>
      </c>
      <c r="Z338">
        <f>HYPERLINK("https://klasma.github.io/Logging_2417/fåglar/A 27284-2024 prioriterade fågelarter.docx", "A 27284-2024")</f>
        <v/>
      </c>
    </row>
    <row r="339" ht="15" customHeight="1">
      <c r="A339" t="inlineStr">
        <is>
          <t>A 28799-2024</t>
        </is>
      </c>
      <c r="B339" s="1" t="n">
        <v>45478</v>
      </c>
      <c r="C339" s="1" t="n">
        <v>45788</v>
      </c>
      <c r="D339" t="inlineStr">
        <is>
          <t>VÄSTERBOTTENS LÄN</t>
        </is>
      </c>
      <c r="E339" t="inlineStr">
        <is>
          <t>VILHELMINA</t>
        </is>
      </c>
      <c r="G339" t="n">
        <v>7.4</v>
      </c>
      <c r="H339" t="n">
        <v>1</v>
      </c>
      <c r="I339" t="n">
        <v>1</v>
      </c>
      <c r="J339" t="n">
        <v>5</v>
      </c>
      <c r="K339" t="n">
        <v>2</v>
      </c>
      <c r="L339" t="n">
        <v>0</v>
      </c>
      <c r="M339" t="n">
        <v>0</v>
      </c>
      <c r="N339" t="n">
        <v>0</v>
      </c>
      <c r="O339" t="n">
        <v>7</v>
      </c>
      <c r="P339" t="n">
        <v>2</v>
      </c>
      <c r="Q339" t="n">
        <v>8</v>
      </c>
      <c r="R339" s="2" t="inlineStr">
        <is>
          <t>Rynkskinn
Ulltickeporing
Garnlav
Granticka
Harticka
Tretåig hackspett
Ullticka
Stuplav</t>
        </is>
      </c>
      <c r="S339">
        <f>HYPERLINK("https://klasma.github.io/Logging_2462/artfynd/A 28799-2024 artfynd.xlsx", "A 28799-2024")</f>
        <v/>
      </c>
      <c r="T339">
        <f>HYPERLINK("https://klasma.github.io/Logging_2462/kartor/A 28799-2024 karta.png", "A 28799-2024")</f>
        <v/>
      </c>
      <c r="V339">
        <f>HYPERLINK("https://klasma.github.io/Logging_2462/klagomål/A 28799-2024 FSC-klagomål.docx", "A 28799-2024")</f>
        <v/>
      </c>
      <c r="W339">
        <f>HYPERLINK("https://klasma.github.io/Logging_2462/klagomålsmail/A 28799-2024 FSC-klagomål mail.docx", "A 28799-2024")</f>
        <v/>
      </c>
      <c r="X339">
        <f>HYPERLINK("https://klasma.github.io/Logging_2462/tillsyn/A 28799-2024 tillsynsbegäran.docx", "A 28799-2024")</f>
        <v/>
      </c>
      <c r="Y339">
        <f>HYPERLINK("https://klasma.github.io/Logging_2462/tillsynsmail/A 28799-2024 tillsynsbegäran mail.docx", "A 28799-2024")</f>
        <v/>
      </c>
      <c r="Z339">
        <f>HYPERLINK("https://klasma.github.io/Logging_2462/fåglar/A 28799-2024 prioriterade fågelarter.docx", "A 28799-2024")</f>
        <v/>
      </c>
    </row>
    <row r="340" ht="15" customHeight="1">
      <c r="A340" t="inlineStr">
        <is>
          <t>A 30345-2024</t>
        </is>
      </c>
      <c r="B340" s="1" t="n">
        <v>45491</v>
      </c>
      <c r="C340" s="1" t="n">
        <v>45788</v>
      </c>
      <c r="D340" t="inlineStr">
        <is>
          <t>VÄSTERBOTTENS LÄN</t>
        </is>
      </c>
      <c r="E340" t="inlineStr">
        <is>
          <t>VILHELMINA</t>
        </is>
      </c>
      <c r="F340" t="inlineStr">
        <is>
          <t>SCA</t>
        </is>
      </c>
      <c r="G340" t="n">
        <v>4.1</v>
      </c>
      <c r="H340" t="n">
        <v>4</v>
      </c>
      <c r="I340" t="n">
        <v>1</v>
      </c>
      <c r="J340" t="n">
        <v>5</v>
      </c>
      <c r="K340" t="n">
        <v>0</v>
      </c>
      <c r="L340" t="n">
        <v>0</v>
      </c>
      <c r="M340" t="n">
        <v>0</v>
      </c>
      <c r="N340" t="n">
        <v>0</v>
      </c>
      <c r="O340" t="n">
        <v>5</v>
      </c>
      <c r="P340" t="n">
        <v>0</v>
      </c>
      <c r="Q340" t="n">
        <v>8</v>
      </c>
      <c r="R340" s="2" t="inlineStr">
        <is>
          <t>Gammelgransskål
Garnlav
Granticka
Talltita
Tretåig hackspett
Stuplav
Lavskrika
Orre</t>
        </is>
      </c>
      <c r="S340">
        <f>HYPERLINK("https://klasma.github.io/Logging_2462/artfynd/A 30345-2024 artfynd.xlsx", "A 30345-2024")</f>
        <v/>
      </c>
      <c r="T340">
        <f>HYPERLINK("https://klasma.github.io/Logging_2462/kartor/A 30345-2024 karta.png", "A 30345-2024")</f>
        <v/>
      </c>
      <c r="V340">
        <f>HYPERLINK("https://klasma.github.io/Logging_2462/klagomål/A 30345-2024 FSC-klagomål.docx", "A 30345-2024")</f>
        <v/>
      </c>
      <c r="W340">
        <f>HYPERLINK("https://klasma.github.io/Logging_2462/klagomålsmail/A 30345-2024 FSC-klagomål mail.docx", "A 30345-2024")</f>
        <v/>
      </c>
      <c r="X340">
        <f>HYPERLINK("https://klasma.github.io/Logging_2462/tillsyn/A 30345-2024 tillsynsbegäran.docx", "A 30345-2024")</f>
        <v/>
      </c>
      <c r="Y340">
        <f>HYPERLINK("https://klasma.github.io/Logging_2462/tillsynsmail/A 30345-2024 tillsynsbegäran mail.docx", "A 30345-2024")</f>
        <v/>
      </c>
      <c r="Z340">
        <f>HYPERLINK("https://klasma.github.io/Logging_2462/fåglar/A 30345-2024 prioriterade fågelarter.docx", "A 30345-2024")</f>
        <v/>
      </c>
    </row>
    <row r="341" ht="15" customHeight="1">
      <c r="A341" t="inlineStr">
        <is>
          <t>A 30810-2024</t>
        </is>
      </c>
      <c r="B341" s="1" t="n">
        <v>45497</v>
      </c>
      <c r="C341" s="1" t="n">
        <v>45788</v>
      </c>
      <c r="D341" t="inlineStr">
        <is>
          <t>VÄSTERBOTTENS LÄN</t>
        </is>
      </c>
      <c r="E341" t="inlineStr">
        <is>
          <t>VILHELMINA</t>
        </is>
      </c>
      <c r="G341" t="n">
        <v>24.7</v>
      </c>
      <c r="H341" t="n">
        <v>3</v>
      </c>
      <c r="I341" t="n">
        <v>1</v>
      </c>
      <c r="J341" t="n">
        <v>6</v>
      </c>
      <c r="K341" t="n">
        <v>0</v>
      </c>
      <c r="L341" t="n">
        <v>0</v>
      </c>
      <c r="M341" t="n">
        <v>0</v>
      </c>
      <c r="N341" t="n">
        <v>0</v>
      </c>
      <c r="O341" t="n">
        <v>6</v>
      </c>
      <c r="P341" t="n">
        <v>0</v>
      </c>
      <c r="Q341" t="n">
        <v>8</v>
      </c>
      <c r="R341" s="2" t="inlineStr">
        <is>
          <t>Garnlav
Granticka
Harticka
Spillkråka
Tretåig hackspett
Ullticka
Vedticka
Lavskrika</t>
        </is>
      </c>
      <c r="S341">
        <f>HYPERLINK("https://klasma.github.io/Logging_2462/artfynd/A 30810-2024 artfynd.xlsx", "A 30810-2024")</f>
        <v/>
      </c>
      <c r="T341">
        <f>HYPERLINK("https://klasma.github.io/Logging_2462/kartor/A 30810-2024 karta.png", "A 30810-2024")</f>
        <v/>
      </c>
      <c r="V341">
        <f>HYPERLINK("https://klasma.github.io/Logging_2462/klagomål/A 30810-2024 FSC-klagomål.docx", "A 30810-2024")</f>
        <v/>
      </c>
      <c r="W341">
        <f>HYPERLINK("https://klasma.github.io/Logging_2462/klagomålsmail/A 30810-2024 FSC-klagomål mail.docx", "A 30810-2024")</f>
        <v/>
      </c>
      <c r="X341">
        <f>HYPERLINK("https://klasma.github.io/Logging_2462/tillsyn/A 30810-2024 tillsynsbegäran.docx", "A 30810-2024")</f>
        <v/>
      </c>
      <c r="Y341">
        <f>HYPERLINK("https://klasma.github.io/Logging_2462/tillsynsmail/A 30810-2024 tillsynsbegäran mail.docx", "A 30810-2024")</f>
        <v/>
      </c>
      <c r="Z341">
        <f>HYPERLINK("https://klasma.github.io/Logging_2462/fåglar/A 30810-2024 prioriterade fågelarter.docx", "A 30810-2024")</f>
        <v/>
      </c>
    </row>
    <row r="342" ht="15" customHeight="1">
      <c r="A342" t="inlineStr">
        <is>
          <t>A 33565-2024</t>
        </is>
      </c>
      <c r="B342" s="1" t="n">
        <v>45520</v>
      </c>
      <c r="C342" s="1" t="n">
        <v>45788</v>
      </c>
      <c r="D342" t="inlineStr">
        <is>
          <t>VÄSTERBOTTENS LÄN</t>
        </is>
      </c>
      <c r="E342" t="inlineStr">
        <is>
          <t>SKELLEFTEÅ</t>
        </is>
      </c>
      <c r="G342" t="n">
        <v>6.8</v>
      </c>
      <c r="H342" t="n">
        <v>0</v>
      </c>
      <c r="I342" t="n">
        <v>3</v>
      </c>
      <c r="J342" t="n">
        <v>4</v>
      </c>
      <c r="K342" t="n">
        <v>1</v>
      </c>
      <c r="L342" t="n">
        <v>0</v>
      </c>
      <c r="M342" t="n">
        <v>0</v>
      </c>
      <c r="N342" t="n">
        <v>0</v>
      </c>
      <c r="O342" t="n">
        <v>5</v>
      </c>
      <c r="P342" t="n">
        <v>1</v>
      </c>
      <c r="Q342" t="n">
        <v>8</v>
      </c>
      <c r="R342" s="2" t="inlineStr">
        <is>
          <t>Smalfotad taggsvamp
Blå taggsvamp
Nordtagging
Orange taggsvamp
Tallriska
Dropptaggsvamp
Gullgröppa
Skarp dropptaggsvamp</t>
        </is>
      </c>
      <c r="S342">
        <f>HYPERLINK("https://klasma.github.io/Logging_2482/artfynd/A 33565-2024 artfynd.xlsx", "A 33565-2024")</f>
        <v/>
      </c>
      <c r="T342">
        <f>HYPERLINK("https://klasma.github.io/Logging_2482/kartor/A 33565-2024 karta.png", "A 33565-2024")</f>
        <v/>
      </c>
      <c r="V342">
        <f>HYPERLINK("https://klasma.github.io/Logging_2482/klagomål/A 33565-2024 FSC-klagomål.docx", "A 33565-2024")</f>
        <v/>
      </c>
      <c r="W342">
        <f>HYPERLINK("https://klasma.github.io/Logging_2482/klagomålsmail/A 33565-2024 FSC-klagomål mail.docx", "A 33565-2024")</f>
        <v/>
      </c>
      <c r="X342">
        <f>HYPERLINK("https://klasma.github.io/Logging_2482/tillsyn/A 33565-2024 tillsynsbegäran.docx", "A 33565-2024")</f>
        <v/>
      </c>
      <c r="Y342">
        <f>HYPERLINK("https://klasma.github.io/Logging_2482/tillsynsmail/A 33565-2024 tillsynsbegäran mail.docx", "A 33565-2024")</f>
        <v/>
      </c>
    </row>
    <row r="343" ht="15" customHeight="1">
      <c r="A343" t="inlineStr">
        <is>
          <t>A 33691-2024</t>
        </is>
      </c>
      <c r="B343" s="1" t="n">
        <v>45520</v>
      </c>
      <c r="C343" s="1" t="n">
        <v>45788</v>
      </c>
      <c r="D343" t="inlineStr">
        <is>
          <t>VÄSTERBOTTENS LÄN</t>
        </is>
      </c>
      <c r="E343" t="inlineStr">
        <is>
          <t>LYCKSELE</t>
        </is>
      </c>
      <c r="F343" t="inlineStr">
        <is>
          <t>Sveaskog</t>
        </is>
      </c>
      <c r="G343" t="n">
        <v>18.4</v>
      </c>
      <c r="H343" t="n">
        <v>1</v>
      </c>
      <c r="I343" t="n">
        <v>2</v>
      </c>
      <c r="J343" t="n">
        <v>6</v>
      </c>
      <c r="K343" t="n">
        <v>0</v>
      </c>
      <c r="L343" t="n">
        <v>0</v>
      </c>
      <c r="M343" t="n">
        <v>0</v>
      </c>
      <c r="N343" t="n">
        <v>0</v>
      </c>
      <c r="O343" t="n">
        <v>6</v>
      </c>
      <c r="P343" t="n">
        <v>0</v>
      </c>
      <c r="Q343" t="n">
        <v>8</v>
      </c>
      <c r="R343" s="2" t="inlineStr">
        <is>
          <t>Garnlav
Granticka
Lunglav
Rosenticka
Skrovellav
Talltita
Bårdlav
Stor aspticka</t>
        </is>
      </c>
      <c r="S343">
        <f>HYPERLINK("https://klasma.github.io/Logging_2481/artfynd/A 33691-2024 artfynd.xlsx", "A 33691-2024")</f>
        <v/>
      </c>
      <c r="T343">
        <f>HYPERLINK("https://klasma.github.io/Logging_2481/kartor/A 33691-2024 karta.png", "A 33691-2024")</f>
        <v/>
      </c>
      <c r="V343">
        <f>HYPERLINK("https://klasma.github.io/Logging_2481/klagomål/A 33691-2024 FSC-klagomål.docx", "A 33691-2024")</f>
        <v/>
      </c>
      <c r="W343">
        <f>HYPERLINK("https://klasma.github.io/Logging_2481/klagomålsmail/A 33691-2024 FSC-klagomål mail.docx", "A 33691-2024")</f>
        <v/>
      </c>
      <c r="X343">
        <f>HYPERLINK("https://klasma.github.io/Logging_2481/tillsyn/A 33691-2024 tillsynsbegäran.docx", "A 33691-2024")</f>
        <v/>
      </c>
      <c r="Y343">
        <f>HYPERLINK("https://klasma.github.io/Logging_2481/tillsynsmail/A 33691-2024 tillsynsbegäran mail.docx", "A 33691-2024")</f>
        <v/>
      </c>
      <c r="Z343">
        <f>HYPERLINK("https://klasma.github.io/Logging_2481/fåglar/A 33691-2024 prioriterade fågelarter.docx", "A 33691-2024")</f>
        <v/>
      </c>
    </row>
    <row r="344" ht="15" customHeight="1">
      <c r="A344" t="inlineStr">
        <is>
          <t>A 40918-2024</t>
        </is>
      </c>
      <c r="B344" s="1" t="n">
        <v>45558</v>
      </c>
      <c r="C344" s="1" t="n">
        <v>45788</v>
      </c>
      <c r="D344" t="inlineStr">
        <is>
          <t>VÄSTERBOTTENS LÄN</t>
        </is>
      </c>
      <c r="E344" t="inlineStr">
        <is>
          <t>VILHELMINA</t>
        </is>
      </c>
      <c r="F344" t="inlineStr">
        <is>
          <t>Allmännings- och besparingsskogar</t>
        </is>
      </c>
      <c r="G344" t="n">
        <v>13.9</v>
      </c>
      <c r="H344" t="n">
        <v>1</v>
      </c>
      <c r="I344" t="n">
        <v>2</v>
      </c>
      <c r="J344" t="n">
        <v>6</v>
      </c>
      <c r="K344" t="n">
        <v>0</v>
      </c>
      <c r="L344" t="n">
        <v>0</v>
      </c>
      <c r="M344" t="n">
        <v>0</v>
      </c>
      <c r="N344" t="n">
        <v>0</v>
      </c>
      <c r="O344" t="n">
        <v>6</v>
      </c>
      <c r="P344" t="n">
        <v>0</v>
      </c>
      <c r="Q344" t="n">
        <v>8</v>
      </c>
      <c r="R344" s="2" t="inlineStr">
        <is>
          <t>Garnlav
Granticka
Harticka
Rosenticka
Tretåig hackspett
Vitgrynig nållav
Mörk husmossa
Vedticka</t>
        </is>
      </c>
      <c r="S344">
        <f>HYPERLINK("https://klasma.github.io/Logging_2462/artfynd/A 40918-2024 artfynd.xlsx", "A 40918-2024")</f>
        <v/>
      </c>
      <c r="T344">
        <f>HYPERLINK("https://klasma.github.io/Logging_2462/kartor/A 40918-2024 karta.png", "A 40918-2024")</f>
        <v/>
      </c>
      <c r="V344">
        <f>HYPERLINK("https://klasma.github.io/Logging_2462/klagomål/A 40918-2024 FSC-klagomål.docx", "A 40918-2024")</f>
        <v/>
      </c>
      <c r="W344">
        <f>HYPERLINK("https://klasma.github.io/Logging_2462/klagomålsmail/A 40918-2024 FSC-klagomål mail.docx", "A 40918-2024")</f>
        <v/>
      </c>
      <c r="X344">
        <f>HYPERLINK("https://klasma.github.io/Logging_2462/tillsyn/A 40918-2024 tillsynsbegäran.docx", "A 40918-2024")</f>
        <v/>
      </c>
      <c r="Y344">
        <f>HYPERLINK("https://klasma.github.io/Logging_2462/tillsynsmail/A 40918-2024 tillsynsbegäran mail.docx", "A 40918-2024")</f>
        <v/>
      </c>
      <c r="Z344">
        <f>HYPERLINK("https://klasma.github.io/Logging_2462/fåglar/A 40918-2024 prioriterade fågelarter.docx", "A 40918-2024")</f>
        <v/>
      </c>
    </row>
    <row r="345" ht="15" customHeight="1">
      <c r="A345" t="inlineStr">
        <is>
          <t>A 42025-2024</t>
        </is>
      </c>
      <c r="B345" s="1" t="n">
        <v>45561</v>
      </c>
      <c r="C345" s="1" t="n">
        <v>45788</v>
      </c>
      <c r="D345" t="inlineStr">
        <is>
          <t>VÄSTERBOTTENS LÄN</t>
        </is>
      </c>
      <c r="E345" t="inlineStr">
        <is>
          <t>UMEÅ</t>
        </is>
      </c>
      <c r="F345" t="inlineStr">
        <is>
          <t>Kommuner</t>
        </is>
      </c>
      <c r="G345" t="n">
        <v>9</v>
      </c>
      <c r="H345" t="n">
        <v>1</v>
      </c>
      <c r="I345" t="n">
        <v>0</v>
      </c>
      <c r="J345" t="n">
        <v>7</v>
      </c>
      <c r="K345" t="n">
        <v>1</v>
      </c>
      <c r="L345" t="n">
        <v>0</v>
      </c>
      <c r="M345" t="n">
        <v>0</v>
      </c>
      <c r="N345" t="n">
        <v>0</v>
      </c>
      <c r="O345" t="n">
        <v>8</v>
      </c>
      <c r="P345" t="n">
        <v>1</v>
      </c>
      <c r="Q345" t="n">
        <v>8</v>
      </c>
      <c r="R345" s="2" t="inlineStr">
        <is>
          <t>Goliatmusseron
Blå taggsvamp
Motaggsvamp
Orange taggsvamp
Svart taggsvamp
Svartvit taggsvamp
Talltaggsvamp
Talltita</t>
        </is>
      </c>
      <c r="S345">
        <f>HYPERLINK("https://klasma.github.io/Logging_2480/artfynd/A 42025-2024 artfynd.xlsx", "A 42025-2024")</f>
        <v/>
      </c>
      <c r="T345">
        <f>HYPERLINK("https://klasma.github.io/Logging_2480/kartor/A 42025-2024 karta.png", "A 42025-2024")</f>
        <v/>
      </c>
      <c r="V345">
        <f>HYPERLINK("https://klasma.github.io/Logging_2480/klagomål/A 42025-2024 FSC-klagomål.docx", "A 42025-2024")</f>
        <v/>
      </c>
      <c r="W345">
        <f>HYPERLINK("https://klasma.github.io/Logging_2480/klagomålsmail/A 42025-2024 FSC-klagomål mail.docx", "A 42025-2024")</f>
        <v/>
      </c>
      <c r="X345">
        <f>HYPERLINK("https://klasma.github.io/Logging_2480/tillsyn/A 42025-2024 tillsynsbegäran.docx", "A 42025-2024")</f>
        <v/>
      </c>
      <c r="Y345">
        <f>HYPERLINK("https://klasma.github.io/Logging_2480/tillsynsmail/A 42025-2024 tillsynsbegäran mail.docx", "A 42025-2024")</f>
        <v/>
      </c>
      <c r="Z345">
        <f>HYPERLINK("https://klasma.github.io/Logging_2480/fåglar/A 42025-2024 prioriterade fågelarter.docx", "A 42025-2024")</f>
        <v/>
      </c>
    </row>
    <row r="346" ht="15" customHeight="1">
      <c r="A346" t="inlineStr">
        <is>
          <t>A 43123-2024</t>
        </is>
      </c>
      <c r="B346" s="1" t="n">
        <v>45567</v>
      </c>
      <c r="C346" s="1" t="n">
        <v>45788</v>
      </c>
      <c r="D346" t="inlineStr">
        <is>
          <t>VÄSTERBOTTENS LÄN</t>
        </is>
      </c>
      <c r="E346" t="inlineStr">
        <is>
          <t>SKELLEFTEÅ</t>
        </is>
      </c>
      <c r="G346" t="n">
        <v>30.4</v>
      </c>
      <c r="H346" t="n">
        <v>2</v>
      </c>
      <c r="I346" t="n">
        <v>1</v>
      </c>
      <c r="J346" t="n">
        <v>7</v>
      </c>
      <c r="K346" t="n">
        <v>0</v>
      </c>
      <c r="L346" t="n">
        <v>0</v>
      </c>
      <c r="M346" t="n">
        <v>0</v>
      </c>
      <c r="N346" t="n">
        <v>0</v>
      </c>
      <c r="O346" t="n">
        <v>7</v>
      </c>
      <c r="P346" t="n">
        <v>0</v>
      </c>
      <c r="Q346" t="n">
        <v>8</v>
      </c>
      <c r="R346" s="2" t="inlineStr">
        <is>
          <t>Gammelgransskål
Garnlav
Granticka
Rosenticka
Spillkråka
Tretåig hackspett
Ullticka
Vedticka</t>
        </is>
      </c>
      <c r="S346">
        <f>HYPERLINK("https://klasma.github.io/Logging_2482/artfynd/A 43123-2024 artfynd.xlsx", "A 43123-2024")</f>
        <v/>
      </c>
      <c r="T346">
        <f>HYPERLINK("https://klasma.github.io/Logging_2482/kartor/A 43123-2024 karta.png", "A 43123-2024")</f>
        <v/>
      </c>
      <c r="V346">
        <f>HYPERLINK("https://klasma.github.io/Logging_2482/klagomål/A 43123-2024 FSC-klagomål.docx", "A 43123-2024")</f>
        <v/>
      </c>
      <c r="W346">
        <f>HYPERLINK("https://klasma.github.io/Logging_2482/klagomålsmail/A 43123-2024 FSC-klagomål mail.docx", "A 43123-2024")</f>
        <v/>
      </c>
      <c r="X346">
        <f>HYPERLINK("https://klasma.github.io/Logging_2482/tillsyn/A 43123-2024 tillsynsbegäran.docx", "A 43123-2024")</f>
        <v/>
      </c>
      <c r="Y346">
        <f>HYPERLINK("https://klasma.github.io/Logging_2482/tillsynsmail/A 43123-2024 tillsynsbegäran mail.docx", "A 43123-2024")</f>
        <v/>
      </c>
      <c r="Z346">
        <f>HYPERLINK("https://klasma.github.io/Logging_2482/fåglar/A 43123-2024 prioriterade fågelarter.docx", "A 43123-2024")</f>
        <v/>
      </c>
    </row>
    <row r="347" ht="15" customHeight="1">
      <c r="A347" t="inlineStr">
        <is>
          <t>A 47252-2024</t>
        </is>
      </c>
      <c r="B347" s="1" t="n">
        <v>45586</v>
      </c>
      <c r="C347" s="1" t="n">
        <v>45788</v>
      </c>
      <c r="D347" t="inlineStr">
        <is>
          <t>VÄSTERBOTTENS LÄN</t>
        </is>
      </c>
      <c r="E347" t="inlineStr">
        <is>
          <t>UMEÅ</t>
        </is>
      </c>
      <c r="F347" t="inlineStr">
        <is>
          <t>Holmen skog AB</t>
        </is>
      </c>
      <c r="G347" t="n">
        <v>11</v>
      </c>
      <c r="H347" t="n">
        <v>4</v>
      </c>
      <c r="I347" t="n">
        <v>0</v>
      </c>
      <c r="J347" t="n">
        <v>5</v>
      </c>
      <c r="K347" t="n">
        <v>0</v>
      </c>
      <c r="L347" t="n">
        <v>0</v>
      </c>
      <c r="M347" t="n">
        <v>0</v>
      </c>
      <c r="N347" t="n">
        <v>0</v>
      </c>
      <c r="O347" t="n">
        <v>5</v>
      </c>
      <c r="P347" t="n">
        <v>0</v>
      </c>
      <c r="Q347" t="n">
        <v>8</v>
      </c>
      <c r="R347" s="2" t="inlineStr">
        <is>
          <t>Garnlav
Granticka
Mörk kolflarnlav
Spillkråka
Vedskivlav
Kungsfågel
Orre
Fläcknycklar</t>
        </is>
      </c>
      <c r="S347">
        <f>HYPERLINK("https://klasma.github.io/Logging_2480/artfynd/A 47252-2024 artfynd.xlsx", "A 47252-2024")</f>
        <v/>
      </c>
      <c r="T347">
        <f>HYPERLINK("https://klasma.github.io/Logging_2480/kartor/A 47252-2024 karta.png", "A 47252-2024")</f>
        <v/>
      </c>
      <c r="V347">
        <f>HYPERLINK("https://klasma.github.io/Logging_2480/klagomål/A 47252-2024 FSC-klagomål.docx", "A 47252-2024")</f>
        <v/>
      </c>
      <c r="W347">
        <f>HYPERLINK("https://klasma.github.io/Logging_2480/klagomålsmail/A 47252-2024 FSC-klagomål mail.docx", "A 47252-2024")</f>
        <v/>
      </c>
      <c r="X347">
        <f>HYPERLINK("https://klasma.github.io/Logging_2480/tillsyn/A 47252-2024 tillsynsbegäran.docx", "A 47252-2024")</f>
        <v/>
      </c>
      <c r="Y347">
        <f>HYPERLINK("https://klasma.github.io/Logging_2480/tillsynsmail/A 47252-2024 tillsynsbegäran mail.docx", "A 47252-2024")</f>
        <v/>
      </c>
      <c r="Z347">
        <f>HYPERLINK("https://klasma.github.io/Logging_2480/fåglar/A 47252-2024 prioriterade fågelarter.docx", "A 47252-2024")</f>
        <v/>
      </c>
    </row>
    <row r="348" ht="15" customHeight="1">
      <c r="A348" t="inlineStr">
        <is>
          <t>A 48272-2024</t>
        </is>
      </c>
      <c r="B348" s="1" t="n">
        <v>45590</v>
      </c>
      <c r="C348" s="1" t="n">
        <v>45788</v>
      </c>
      <c r="D348" t="inlineStr">
        <is>
          <t>VÄSTERBOTTENS LÄN</t>
        </is>
      </c>
      <c r="E348" t="inlineStr">
        <is>
          <t>SKELLEFTEÅ</t>
        </is>
      </c>
      <c r="G348" t="n">
        <v>12.5</v>
      </c>
      <c r="H348" t="n">
        <v>1</v>
      </c>
      <c r="I348" t="n">
        <v>0</v>
      </c>
      <c r="J348" t="n">
        <v>7</v>
      </c>
      <c r="K348" t="n">
        <v>1</v>
      </c>
      <c r="L348" t="n">
        <v>0</v>
      </c>
      <c r="M348" t="n">
        <v>0</v>
      </c>
      <c r="N348" t="n">
        <v>0</v>
      </c>
      <c r="O348" t="n">
        <v>8</v>
      </c>
      <c r="P348" t="n">
        <v>1</v>
      </c>
      <c r="Q348" t="n">
        <v>8</v>
      </c>
      <c r="R348" s="2" t="inlineStr">
        <is>
          <t>Vågticka
Granticka
Harticka
Rosenticka
Stjärntagging
Tretåig hackspett
Ullticka
Violettgrå tagellav</t>
        </is>
      </c>
      <c r="S348">
        <f>HYPERLINK("https://klasma.github.io/Logging_2482/artfynd/A 48272-2024 artfynd.xlsx", "A 48272-2024")</f>
        <v/>
      </c>
      <c r="T348">
        <f>HYPERLINK("https://klasma.github.io/Logging_2482/kartor/A 48272-2024 karta.png", "A 48272-2024")</f>
        <v/>
      </c>
      <c r="V348">
        <f>HYPERLINK("https://klasma.github.io/Logging_2482/klagomål/A 48272-2024 FSC-klagomål.docx", "A 48272-2024")</f>
        <v/>
      </c>
      <c r="W348">
        <f>HYPERLINK("https://klasma.github.io/Logging_2482/klagomålsmail/A 48272-2024 FSC-klagomål mail.docx", "A 48272-2024")</f>
        <v/>
      </c>
      <c r="X348">
        <f>HYPERLINK("https://klasma.github.io/Logging_2482/tillsyn/A 48272-2024 tillsynsbegäran.docx", "A 48272-2024")</f>
        <v/>
      </c>
      <c r="Y348">
        <f>HYPERLINK("https://klasma.github.io/Logging_2482/tillsynsmail/A 48272-2024 tillsynsbegäran mail.docx", "A 48272-2024")</f>
        <v/>
      </c>
      <c r="Z348">
        <f>HYPERLINK("https://klasma.github.io/Logging_2482/fåglar/A 48272-2024 prioriterade fågelarter.docx", "A 48272-2024")</f>
        <v/>
      </c>
    </row>
    <row r="349" ht="15" customHeight="1">
      <c r="A349" t="inlineStr">
        <is>
          <t>A 49036-2024</t>
        </is>
      </c>
      <c r="B349" s="1" t="n">
        <v>45594</v>
      </c>
      <c r="C349" s="1" t="n">
        <v>45788</v>
      </c>
      <c r="D349" t="inlineStr">
        <is>
          <t>VÄSTERBOTTENS LÄN</t>
        </is>
      </c>
      <c r="E349" t="inlineStr">
        <is>
          <t>UMEÅ</t>
        </is>
      </c>
      <c r="G349" t="n">
        <v>26.7</v>
      </c>
      <c r="H349" t="n">
        <v>3</v>
      </c>
      <c r="I349" t="n">
        <v>1</v>
      </c>
      <c r="J349" t="n">
        <v>6</v>
      </c>
      <c r="K349" t="n">
        <v>0</v>
      </c>
      <c r="L349" t="n">
        <v>0</v>
      </c>
      <c r="M349" t="n">
        <v>0</v>
      </c>
      <c r="N349" t="n">
        <v>0</v>
      </c>
      <c r="O349" t="n">
        <v>6</v>
      </c>
      <c r="P349" t="n">
        <v>0</v>
      </c>
      <c r="Q349" t="n">
        <v>8</v>
      </c>
      <c r="R349" s="2" t="inlineStr">
        <is>
          <t>Gammelgransskål
Garnlav
Motaggsvamp
Spillkråka
Tallticka
Talltita
Gullgröppa
Tjäder</t>
        </is>
      </c>
      <c r="S349">
        <f>HYPERLINK("https://klasma.github.io/Logging_2480/artfynd/A 49036-2024 artfynd.xlsx", "A 49036-2024")</f>
        <v/>
      </c>
      <c r="T349">
        <f>HYPERLINK("https://klasma.github.io/Logging_2480/kartor/A 49036-2024 karta.png", "A 49036-2024")</f>
        <v/>
      </c>
      <c r="V349">
        <f>HYPERLINK("https://klasma.github.io/Logging_2480/klagomål/A 49036-2024 FSC-klagomål.docx", "A 49036-2024")</f>
        <v/>
      </c>
      <c r="W349">
        <f>HYPERLINK("https://klasma.github.io/Logging_2480/klagomålsmail/A 49036-2024 FSC-klagomål mail.docx", "A 49036-2024")</f>
        <v/>
      </c>
      <c r="X349">
        <f>HYPERLINK("https://klasma.github.io/Logging_2480/tillsyn/A 49036-2024 tillsynsbegäran.docx", "A 49036-2024")</f>
        <v/>
      </c>
      <c r="Y349">
        <f>HYPERLINK("https://klasma.github.io/Logging_2480/tillsynsmail/A 49036-2024 tillsynsbegäran mail.docx", "A 49036-2024")</f>
        <v/>
      </c>
      <c r="Z349">
        <f>HYPERLINK("https://klasma.github.io/Logging_2480/fåglar/A 49036-2024 prioriterade fågelarter.docx", "A 49036-2024")</f>
        <v/>
      </c>
    </row>
    <row r="350" ht="15" customHeight="1">
      <c r="A350" t="inlineStr">
        <is>
          <t>A 53122-2024</t>
        </is>
      </c>
      <c r="B350" s="1" t="n">
        <v>45611</v>
      </c>
      <c r="C350" s="1" t="n">
        <v>45788</v>
      </c>
      <c r="D350" t="inlineStr">
        <is>
          <t>VÄSTERBOTTENS LÄN</t>
        </is>
      </c>
      <c r="E350" t="inlineStr">
        <is>
          <t>SKELLEFTEÅ</t>
        </is>
      </c>
      <c r="F350" t="inlineStr">
        <is>
          <t>Holmen skog AB</t>
        </is>
      </c>
      <c r="G350" t="n">
        <v>8.5</v>
      </c>
      <c r="H350" t="n">
        <v>1</v>
      </c>
      <c r="I350" t="n">
        <v>3</v>
      </c>
      <c r="J350" t="n">
        <v>4</v>
      </c>
      <c r="K350" t="n">
        <v>1</v>
      </c>
      <c r="L350" t="n">
        <v>0</v>
      </c>
      <c r="M350" t="n">
        <v>0</v>
      </c>
      <c r="N350" t="n">
        <v>0</v>
      </c>
      <c r="O350" t="n">
        <v>5</v>
      </c>
      <c r="P350" t="n">
        <v>1</v>
      </c>
      <c r="Q350" t="n">
        <v>8</v>
      </c>
      <c r="R350" s="2" t="inlineStr">
        <is>
          <t>Lammticka
Blå taggsvamp
Motaggsvamp
Orange taggsvamp
Vaddporing
Dropptaggsvamp
Plattlummer
Tallfingersvamp</t>
        </is>
      </c>
      <c r="S350">
        <f>HYPERLINK("https://klasma.github.io/Logging_2482/artfynd/A 53122-2024 artfynd.xlsx", "A 53122-2024")</f>
        <v/>
      </c>
      <c r="T350">
        <f>HYPERLINK("https://klasma.github.io/Logging_2482/kartor/A 53122-2024 karta.png", "A 53122-2024")</f>
        <v/>
      </c>
      <c r="V350">
        <f>HYPERLINK("https://klasma.github.io/Logging_2482/klagomål/A 53122-2024 FSC-klagomål.docx", "A 53122-2024")</f>
        <v/>
      </c>
      <c r="W350">
        <f>HYPERLINK("https://klasma.github.io/Logging_2482/klagomålsmail/A 53122-2024 FSC-klagomål mail.docx", "A 53122-2024")</f>
        <v/>
      </c>
      <c r="X350">
        <f>HYPERLINK("https://klasma.github.io/Logging_2482/tillsyn/A 53122-2024 tillsynsbegäran.docx", "A 53122-2024")</f>
        <v/>
      </c>
      <c r="Y350">
        <f>HYPERLINK("https://klasma.github.io/Logging_2482/tillsynsmail/A 53122-2024 tillsynsbegäran mail.docx", "A 53122-2024")</f>
        <v/>
      </c>
    </row>
    <row r="351" ht="15" customHeight="1">
      <c r="A351" t="inlineStr">
        <is>
          <t>A 56632-2024</t>
        </is>
      </c>
      <c r="B351" s="1" t="n">
        <v>45625</v>
      </c>
      <c r="C351" s="1" t="n">
        <v>45788</v>
      </c>
      <c r="D351" t="inlineStr">
        <is>
          <t>VÄSTERBOTTENS LÄN</t>
        </is>
      </c>
      <c r="E351" t="inlineStr">
        <is>
          <t>VILHELMINA</t>
        </is>
      </c>
      <c r="F351" t="inlineStr">
        <is>
          <t>Allmännings- och besparingsskogar</t>
        </is>
      </c>
      <c r="G351" t="n">
        <v>55</v>
      </c>
      <c r="H351" t="n">
        <v>1</v>
      </c>
      <c r="I351" t="n">
        <v>3</v>
      </c>
      <c r="J351" t="n">
        <v>5</v>
      </c>
      <c r="K351" t="n">
        <v>0</v>
      </c>
      <c r="L351" t="n">
        <v>0</v>
      </c>
      <c r="M351" t="n">
        <v>0</v>
      </c>
      <c r="N351" t="n">
        <v>0</v>
      </c>
      <c r="O351" t="n">
        <v>5</v>
      </c>
      <c r="P351" t="n">
        <v>0</v>
      </c>
      <c r="Q351" t="n">
        <v>8</v>
      </c>
      <c r="R351" s="2" t="inlineStr">
        <is>
          <t>Garnlav
Granticka
Harticka
Tretåig hackspett
Vitgrynig nållav
Gulnål
Mörk husmossa
Stuplav</t>
        </is>
      </c>
      <c r="S351">
        <f>HYPERLINK("https://klasma.github.io/Logging_2462/artfynd/A 56632-2024 artfynd.xlsx", "A 56632-2024")</f>
        <v/>
      </c>
      <c r="T351">
        <f>HYPERLINK("https://klasma.github.io/Logging_2462/kartor/A 56632-2024 karta.png", "A 56632-2024")</f>
        <v/>
      </c>
      <c r="V351">
        <f>HYPERLINK("https://klasma.github.io/Logging_2462/klagomål/A 56632-2024 FSC-klagomål.docx", "A 56632-2024")</f>
        <v/>
      </c>
      <c r="W351">
        <f>HYPERLINK("https://klasma.github.io/Logging_2462/klagomålsmail/A 56632-2024 FSC-klagomål mail.docx", "A 56632-2024")</f>
        <v/>
      </c>
      <c r="X351">
        <f>HYPERLINK("https://klasma.github.io/Logging_2462/tillsyn/A 56632-2024 tillsynsbegäran.docx", "A 56632-2024")</f>
        <v/>
      </c>
      <c r="Y351">
        <f>HYPERLINK("https://klasma.github.io/Logging_2462/tillsynsmail/A 56632-2024 tillsynsbegäran mail.docx", "A 56632-2024")</f>
        <v/>
      </c>
      <c r="Z351">
        <f>HYPERLINK("https://klasma.github.io/Logging_2462/fåglar/A 56632-2024 prioriterade fågelarter.docx", "A 56632-2024")</f>
        <v/>
      </c>
    </row>
    <row r="352" ht="15" customHeight="1">
      <c r="A352" t="inlineStr">
        <is>
          <t>A 302-2025</t>
        </is>
      </c>
      <c r="B352" s="1" t="n">
        <v>45656</v>
      </c>
      <c r="C352" s="1" t="n">
        <v>45788</v>
      </c>
      <c r="D352" t="inlineStr">
        <is>
          <t>VÄSTERBOTTENS LÄN</t>
        </is>
      </c>
      <c r="E352" t="inlineStr">
        <is>
          <t>ROBERTSFORS</t>
        </is>
      </c>
      <c r="G352" t="n">
        <v>10.1</v>
      </c>
      <c r="H352" t="n">
        <v>5</v>
      </c>
      <c r="I352" t="n">
        <v>1</v>
      </c>
      <c r="J352" t="n">
        <v>5</v>
      </c>
      <c r="K352" t="n">
        <v>0</v>
      </c>
      <c r="L352" t="n">
        <v>0</v>
      </c>
      <c r="M352" t="n">
        <v>0</v>
      </c>
      <c r="N352" t="n">
        <v>0</v>
      </c>
      <c r="O352" t="n">
        <v>5</v>
      </c>
      <c r="P352" t="n">
        <v>0</v>
      </c>
      <c r="Q352" t="n">
        <v>8</v>
      </c>
      <c r="R352" s="2" t="inlineStr">
        <is>
          <t>Garnlav
Granticka
Järpe
Spillkråka
Talltita
Vedticka
Fläcknycklar
Revlummer</t>
        </is>
      </c>
      <c r="S352">
        <f>HYPERLINK("https://klasma.github.io/Logging_2409/artfynd/A 302-2025 artfynd.xlsx", "A 302-2025")</f>
        <v/>
      </c>
      <c r="T352">
        <f>HYPERLINK("https://klasma.github.io/Logging_2409/kartor/A 302-2025 karta.png", "A 302-2025")</f>
        <v/>
      </c>
      <c r="V352">
        <f>HYPERLINK("https://klasma.github.io/Logging_2409/klagomål/A 302-2025 FSC-klagomål.docx", "A 302-2025")</f>
        <v/>
      </c>
      <c r="W352">
        <f>HYPERLINK("https://klasma.github.io/Logging_2409/klagomålsmail/A 302-2025 FSC-klagomål mail.docx", "A 302-2025")</f>
        <v/>
      </c>
      <c r="X352">
        <f>HYPERLINK("https://klasma.github.io/Logging_2409/tillsyn/A 302-2025 tillsynsbegäran.docx", "A 302-2025")</f>
        <v/>
      </c>
      <c r="Y352">
        <f>HYPERLINK("https://klasma.github.io/Logging_2409/tillsynsmail/A 302-2025 tillsynsbegäran mail.docx", "A 302-2025")</f>
        <v/>
      </c>
      <c r="Z352">
        <f>HYPERLINK("https://klasma.github.io/Logging_2409/fåglar/A 302-2025 prioriterade fågelarter.docx", "A 302-2025")</f>
        <v/>
      </c>
    </row>
    <row r="353" ht="15" customHeight="1">
      <c r="A353" t="inlineStr">
        <is>
          <t>A 2110-2025</t>
        </is>
      </c>
      <c r="B353" s="1" t="n">
        <v>45672</v>
      </c>
      <c r="C353" s="1" t="n">
        <v>45788</v>
      </c>
      <c r="D353" t="inlineStr">
        <is>
          <t>VÄSTERBOTTENS LÄN</t>
        </is>
      </c>
      <c r="E353" t="inlineStr">
        <is>
          <t>LYCKSELE</t>
        </is>
      </c>
      <c r="G353" t="n">
        <v>11.6</v>
      </c>
      <c r="H353" t="n">
        <v>0</v>
      </c>
      <c r="I353" t="n">
        <v>1</v>
      </c>
      <c r="J353" t="n">
        <v>7</v>
      </c>
      <c r="K353" t="n">
        <v>0</v>
      </c>
      <c r="L353" t="n">
        <v>0</v>
      </c>
      <c r="M353" t="n">
        <v>0</v>
      </c>
      <c r="N353" t="n">
        <v>0</v>
      </c>
      <c r="O353" t="n">
        <v>7</v>
      </c>
      <c r="P353" t="n">
        <v>0</v>
      </c>
      <c r="Q353" t="n">
        <v>8</v>
      </c>
      <c r="R353" s="2" t="inlineStr">
        <is>
          <t>Brunpudrad nållav
Gammelgransskål
Garnlav
Granticka
Knottrig blåslav
Lunglav
Rödbrun blekspik
Trådticka</t>
        </is>
      </c>
      <c r="S353">
        <f>HYPERLINK("https://klasma.github.io/Logging_2481/artfynd/A 2110-2025 artfynd.xlsx", "A 2110-2025")</f>
        <v/>
      </c>
      <c r="T353">
        <f>HYPERLINK("https://klasma.github.io/Logging_2481/kartor/A 2110-2025 karta.png", "A 2110-2025")</f>
        <v/>
      </c>
      <c r="V353">
        <f>HYPERLINK("https://klasma.github.io/Logging_2481/klagomål/A 2110-2025 FSC-klagomål.docx", "A 2110-2025")</f>
        <v/>
      </c>
      <c r="W353">
        <f>HYPERLINK("https://klasma.github.io/Logging_2481/klagomålsmail/A 2110-2025 FSC-klagomål mail.docx", "A 2110-2025")</f>
        <v/>
      </c>
      <c r="X353">
        <f>HYPERLINK("https://klasma.github.io/Logging_2481/tillsyn/A 2110-2025 tillsynsbegäran.docx", "A 2110-2025")</f>
        <v/>
      </c>
      <c r="Y353">
        <f>HYPERLINK("https://klasma.github.io/Logging_2481/tillsynsmail/A 2110-2025 tillsynsbegäran mail.docx", "A 2110-2025")</f>
        <v/>
      </c>
    </row>
    <row r="354" ht="15" customHeight="1">
      <c r="A354" t="inlineStr">
        <is>
          <t>A 6514-2025</t>
        </is>
      </c>
      <c r="B354" s="1" t="n">
        <v>45699</v>
      </c>
      <c r="C354" s="1" t="n">
        <v>45788</v>
      </c>
      <c r="D354" t="inlineStr">
        <is>
          <t>VÄSTERBOTTENS LÄN</t>
        </is>
      </c>
      <c r="E354" t="inlineStr">
        <is>
          <t>LYCKSELE</t>
        </is>
      </c>
      <c r="F354" t="inlineStr">
        <is>
          <t>Övriga Aktiebolag</t>
        </is>
      </c>
      <c r="G354" t="n">
        <v>12.3</v>
      </c>
      <c r="H354" t="n">
        <v>1</v>
      </c>
      <c r="I354" t="n">
        <v>2</v>
      </c>
      <c r="J354" t="n">
        <v>5</v>
      </c>
      <c r="K354" t="n">
        <v>0</v>
      </c>
      <c r="L354" t="n">
        <v>0</v>
      </c>
      <c r="M354" t="n">
        <v>0</v>
      </c>
      <c r="N354" t="n">
        <v>0</v>
      </c>
      <c r="O354" t="n">
        <v>5</v>
      </c>
      <c r="P354" t="n">
        <v>0</v>
      </c>
      <c r="Q354" t="n">
        <v>8</v>
      </c>
      <c r="R354" s="2" t="inlineStr">
        <is>
          <t>Gammelgransskål
Garnlav
Lunglav
Vedflamlav
Vedflikmossa
Bårdlav
Stuplav
Revlummer</t>
        </is>
      </c>
      <c r="S354">
        <f>HYPERLINK("https://klasma.github.io/Logging_2481/artfynd/A 6514-2025 artfynd.xlsx", "A 6514-2025")</f>
        <v/>
      </c>
      <c r="T354">
        <f>HYPERLINK("https://klasma.github.io/Logging_2481/kartor/A 6514-2025 karta.png", "A 6514-2025")</f>
        <v/>
      </c>
      <c r="V354">
        <f>HYPERLINK("https://klasma.github.io/Logging_2481/klagomål/A 6514-2025 FSC-klagomål.docx", "A 6514-2025")</f>
        <v/>
      </c>
      <c r="W354">
        <f>HYPERLINK("https://klasma.github.io/Logging_2481/klagomålsmail/A 6514-2025 FSC-klagomål mail.docx", "A 6514-2025")</f>
        <v/>
      </c>
      <c r="X354">
        <f>HYPERLINK("https://klasma.github.io/Logging_2481/tillsyn/A 6514-2025 tillsynsbegäran.docx", "A 6514-2025")</f>
        <v/>
      </c>
      <c r="Y354">
        <f>HYPERLINK("https://klasma.github.io/Logging_2481/tillsynsmail/A 6514-2025 tillsynsbegäran mail.docx", "A 6514-2025")</f>
        <v/>
      </c>
    </row>
    <row r="355" ht="15" customHeight="1">
      <c r="A355" t="inlineStr">
        <is>
          <t>A 15455-2025</t>
        </is>
      </c>
      <c r="B355" s="1" t="n">
        <v>45747</v>
      </c>
      <c r="C355" s="1" t="n">
        <v>45788</v>
      </c>
      <c r="D355" t="inlineStr">
        <is>
          <t>VÄSTERBOTTENS LÄN</t>
        </is>
      </c>
      <c r="E355" t="inlineStr">
        <is>
          <t>UMEÅ</t>
        </is>
      </c>
      <c r="G355" t="n">
        <v>10.1</v>
      </c>
      <c r="H355" t="n">
        <v>8</v>
      </c>
      <c r="I355" t="n">
        <v>0</v>
      </c>
      <c r="J355" t="n">
        <v>6</v>
      </c>
      <c r="K355" t="n">
        <v>2</v>
      </c>
      <c r="L355" t="n">
        <v>0</v>
      </c>
      <c r="M355" t="n">
        <v>0</v>
      </c>
      <c r="N355" t="n">
        <v>0</v>
      </c>
      <c r="O355" t="n">
        <v>8</v>
      </c>
      <c r="P355" t="n">
        <v>2</v>
      </c>
      <c r="Q355" t="n">
        <v>8</v>
      </c>
      <c r="R355" s="2" t="inlineStr">
        <is>
          <t>Gråtrut
Kricka
Fiskmås
Havsörn
Kråka
Skrattmås
Smålom
Videsparv</t>
        </is>
      </c>
      <c r="S355">
        <f>HYPERLINK("https://klasma.github.io/Logging_242480/artfynd/A 15455-2025 artfynd.xlsx", "A 15455-2025")</f>
        <v/>
      </c>
      <c r="T355">
        <f>HYPERLINK("https://klasma.github.io/Logging_242480/kartor/A 15455-2025 karta.png", "A 15455-2025")</f>
        <v/>
      </c>
      <c r="V355">
        <f>HYPERLINK("https://klasma.github.io/Logging_242480/klagomål/A 15455-2025 FSC-klagomål.docx", "A 15455-2025")</f>
        <v/>
      </c>
      <c r="W355">
        <f>HYPERLINK("https://klasma.github.io/Logging_242480/klagomålsmail/A 15455-2025 FSC-klagomål mail.docx", "A 15455-2025")</f>
        <v/>
      </c>
      <c r="X355">
        <f>HYPERLINK("https://klasma.github.io/Logging_242480/tillsyn/A 15455-2025 tillsynsbegäran.docx", "A 15455-2025")</f>
        <v/>
      </c>
      <c r="Y355">
        <f>HYPERLINK("https://klasma.github.io/Logging_242480/tillsynsmail/A 15455-2025 tillsynsbegäran mail.docx", "A 15455-2025")</f>
        <v/>
      </c>
      <c r="Z355">
        <f>HYPERLINK("https://klasma.github.io/Logging_242480/fåglar/A 15455-2025 prioriterade fågelarter.docx", "A 15455-2025")</f>
        <v/>
      </c>
    </row>
    <row r="356" ht="15" customHeight="1">
      <c r="A356" t="inlineStr">
        <is>
          <t>A 18771-2019</t>
        </is>
      </c>
      <c r="B356" s="1" t="n">
        <v>43560</v>
      </c>
      <c r="C356" s="1" t="n">
        <v>45788</v>
      </c>
      <c r="D356" t="inlineStr">
        <is>
          <t>VÄSTERBOTTENS LÄN</t>
        </is>
      </c>
      <c r="E356" t="inlineStr">
        <is>
          <t>LYCKSELE</t>
        </is>
      </c>
      <c r="F356" t="inlineStr">
        <is>
          <t>SCA</t>
        </is>
      </c>
      <c r="G356" t="n">
        <v>2</v>
      </c>
      <c r="H356" t="n">
        <v>0</v>
      </c>
      <c r="I356" t="n">
        <v>3</v>
      </c>
      <c r="J356" t="n">
        <v>4</v>
      </c>
      <c r="K356" t="n">
        <v>0</v>
      </c>
      <c r="L356" t="n">
        <v>0</v>
      </c>
      <c r="M356" t="n">
        <v>0</v>
      </c>
      <c r="N356" t="n">
        <v>0</v>
      </c>
      <c r="O356" t="n">
        <v>4</v>
      </c>
      <c r="P356" t="n">
        <v>0</v>
      </c>
      <c r="Q356" t="n">
        <v>7</v>
      </c>
      <c r="R356" s="2" t="inlineStr">
        <is>
          <t>Garnlav
Granticka
Ullticka
Veckticka
Norrlandslav
Stuplav
Vågbandad barkbock</t>
        </is>
      </c>
      <c r="S356">
        <f>HYPERLINK("https://klasma.github.io/Logging_2481/artfynd/A 18771-2019 artfynd.xlsx", "A 18771-2019")</f>
        <v/>
      </c>
      <c r="T356">
        <f>HYPERLINK("https://klasma.github.io/Logging_2481/kartor/A 18771-2019 karta.png", "A 18771-2019")</f>
        <v/>
      </c>
      <c r="V356">
        <f>HYPERLINK("https://klasma.github.io/Logging_2481/klagomål/A 18771-2019 FSC-klagomål.docx", "A 18771-2019")</f>
        <v/>
      </c>
      <c r="W356">
        <f>HYPERLINK("https://klasma.github.io/Logging_2481/klagomålsmail/A 18771-2019 FSC-klagomål mail.docx", "A 18771-2019")</f>
        <v/>
      </c>
      <c r="X356">
        <f>HYPERLINK("https://klasma.github.io/Logging_2481/tillsyn/A 18771-2019 tillsynsbegäran.docx", "A 18771-2019")</f>
        <v/>
      </c>
      <c r="Y356">
        <f>HYPERLINK("https://klasma.github.io/Logging_2481/tillsynsmail/A 18771-2019 tillsynsbegäran mail.docx", "A 18771-2019")</f>
        <v/>
      </c>
    </row>
    <row r="357" ht="15" customHeight="1">
      <c r="A357" t="inlineStr">
        <is>
          <t>A 25653-2019</t>
        </is>
      </c>
      <c r="B357" s="1" t="n">
        <v>43602</v>
      </c>
      <c r="C357" s="1" t="n">
        <v>45788</v>
      </c>
      <c r="D357" t="inlineStr">
        <is>
          <t>VÄSTERBOTTENS LÄN</t>
        </is>
      </c>
      <c r="E357" t="inlineStr">
        <is>
          <t>SKELLEFTEÅ</t>
        </is>
      </c>
      <c r="G357" t="n">
        <v>27.4</v>
      </c>
      <c r="H357" t="n">
        <v>6</v>
      </c>
      <c r="I357" t="n">
        <v>2</v>
      </c>
      <c r="J357" t="n">
        <v>3</v>
      </c>
      <c r="K357" t="n">
        <v>0</v>
      </c>
      <c r="L357" t="n">
        <v>0</v>
      </c>
      <c r="M357" t="n">
        <v>0</v>
      </c>
      <c r="N357" t="n">
        <v>0</v>
      </c>
      <c r="O357" t="n">
        <v>3</v>
      </c>
      <c r="P357" t="n">
        <v>0</v>
      </c>
      <c r="Q357" t="n">
        <v>7</v>
      </c>
      <c r="R357" s="2" t="inlineStr">
        <is>
          <t>Kolflarnlav
Nordfladdermus
Tretåig hackspett
Korallrot
Spindelblomster
Vanlig groda
Revlummer</t>
        </is>
      </c>
      <c r="S357">
        <f>HYPERLINK("https://klasma.github.io/Logging_2482/artfynd/A 25653-2019 artfynd.xlsx", "A 25653-2019")</f>
        <v/>
      </c>
      <c r="T357">
        <f>HYPERLINK("https://klasma.github.io/Logging_2482/kartor/A 25653-2019 karta.png", "A 25653-2019")</f>
        <v/>
      </c>
      <c r="V357">
        <f>HYPERLINK("https://klasma.github.io/Logging_2482/klagomål/A 25653-2019 FSC-klagomål.docx", "A 25653-2019")</f>
        <v/>
      </c>
      <c r="W357">
        <f>HYPERLINK("https://klasma.github.io/Logging_2482/klagomålsmail/A 25653-2019 FSC-klagomål mail.docx", "A 25653-2019")</f>
        <v/>
      </c>
      <c r="X357">
        <f>HYPERLINK("https://klasma.github.io/Logging_2482/tillsyn/A 25653-2019 tillsynsbegäran.docx", "A 25653-2019")</f>
        <v/>
      </c>
      <c r="Y357">
        <f>HYPERLINK("https://klasma.github.io/Logging_2482/tillsynsmail/A 25653-2019 tillsynsbegäran mail.docx", "A 25653-2019")</f>
        <v/>
      </c>
      <c r="Z357">
        <f>HYPERLINK("https://klasma.github.io/Logging_2482/fåglar/A 25653-2019 prioriterade fågelarter.docx", "A 25653-2019")</f>
        <v/>
      </c>
    </row>
    <row r="358" ht="15" customHeight="1">
      <c r="A358" t="inlineStr">
        <is>
          <t>A 31314-2019</t>
        </is>
      </c>
      <c r="B358" s="1" t="n">
        <v>43641</v>
      </c>
      <c r="C358" s="1" t="n">
        <v>45788</v>
      </c>
      <c r="D358" t="inlineStr">
        <is>
          <t>VÄSTERBOTTENS LÄN</t>
        </is>
      </c>
      <c r="E358" t="inlineStr">
        <is>
          <t>UMEÅ</t>
        </is>
      </c>
      <c r="G358" t="n">
        <v>2.3</v>
      </c>
      <c r="H358" t="n">
        <v>0</v>
      </c>
      <c r="I358" t="n">
        <v>1</v>
      </c>
      <c r="J358" t="n">
        <v>6</v>
      </c>
      <c r="K358" t="n">
        <v>0</v>
      </c>
      <c r="L358" t="n">
        <v>0</v>
      </c>
      <c r="M358" t="n">
        <v>0</v>
      </c>
      <c r="N358" t="n">
        <v>0</v>
      </c>
      <c r="O358" t="n">
        <v>6</v>
      </c>
      <c r="P358" t="n">
        <v>0</v>
      </c>
      <c r="Q358" t="n">
        <v>7</v>
      </c>
      <c r="R358" s="2" t="inlineStr">
        <is>
          <t>Blanksvart spiklav
Gammelgransskål
Garnlav
Ullticka
Vaddporing
Vedskivlav
Dropptaggsvamp</t>
        </is>
      </c>
      <c r="S358">
        <f>HYPERLINK("https://klasma.github.io/Logging_2480/artfynd/A 31314-2019 artfynd.xlsx", "A 31314-2019")</f>
        <v/>
      </c>
      <c r="T358">
        <f>HYPERLINK("https://klasma.github.io/Logging_2480/kartor/A 31314-2019 karta.png", "A 31314-2019")</f>
        <v/>
      </c>
      <c r="V358">
        <f>HYPERLINK("https://klasma.github.io/Logging_2480/klagomål/A 31314-2019 FSC-klagomål.docx", "A 31314-2019")</f>
        <v/>
      </c>
      <c r="W358">
        <f>HYPERLINK("https://klasma.github.io/Logging_2480/klagomålsmail/A 31314-2019 FSC-klagomål mail.docx", "A 31314-2019")</f>
        <v/>
      </c>
      <c r="X358">
        <f>HYPERLINK("https://klasma.github.io/Logging_2480/tillsyn/A 31314-2019 tillsynsbegäran.docx", "A 31314-2019")</f>
        <v/>
      </c>
      <c r="Y358">
        <f>HYPERLINK("https://klasma.github.io/Logging_2480/tillsynsmail/A 31314-2019 tillsynsbegäran mail.docx", "A 31314-2019")</f>
        <v/>
      </c>
    </row>
    <row r="359" ht="15" customHeight="1">
      <c r="A359" t="inlineStr">
        <is>
          <t>A 32165-2019</t>
        </is>
      </c>
      <c r="B359" s="1" t="n">
        <v>43643</v>
      </c>
      <c r="C359" s="1" t="n">
        <v>45788</v>
      </c>
      <c r="D359" t="inlineStr">
        <is>
          <t>VÄSTERBOTTENS LÄN</t>
        </is>
      </c>
      <c r="E359" t="inlineStr">
        <is>
          <t>VÄNNÄS</t>
        </is>
      </c>
      <c r="G359" t="n">
        <v>4.7</v>
      </c>
      <c r="H359" t="n">
        <v>4</v>
      </c>
      <c r="I359" t="n">
        <v>3</v>
      </c>
      <c r="J359" t="n">
        <v>2</v>
      </c>
      <c r="K359" t="n">
        <v>0</v>
      </c>
      <c r="L359" t="n">
        <v>0</v>
      </c>
      <c r="M359" t="n">
        <v>0</v>
      </c>
      <c r="N359" t="n">
        <v>0</v>
      </c>
      <c r="O359" t="n">
        <v>2</v>
      </c>
      <c r="P359" t="n">
        <v>0</v>
      </c>
      <c r="Q359" t="n">
        <v>7</v>
      </c>
      <c r="R359" s="2" t="inlineStr">
        <is>
          <t>Garnlav
Tretåig hackspett
Korallrot
Svavelriska
Tibast
Blåsippa
Revlummer</t>
        </is>
      </c>
      <c r="S359">
        <f>HYPERLINK("https://klasma.github.io/Logging_2460/artfynd/A 32165-2019 artfynd.xlsx", "A 32165-2019")</f>
        <v/>
      </c>
      <c r="T359">
        <f>HYPERLINK("https://klasma.github.io/Logging_2460/kartor/A 32165-2019 karta.png", "A 32165-2019")</f>
        <v/>
      </c>
      <c r="U359">
        <f>HYPERLINK("https://klasma.github.io/Logging_2460/knärot/A 32165-2019 karta knärot.png", "A 32165-2019")</f>
        <v/>
      </c>
      <c r="V359">
        <f>HYPERLINK("https://klasma.github.io/Logging_2460/klagomål/A 32165-2019 FSC-klagomål.docx", "A 32165-2019")</f>
        <v/>
      </c>
      <c r="W359">
        <f>HYPERLINK("https://klasma.github.io/Logging_2460/klagomålsmail/A 32165-2019 FSC-klagomål mail.docx", "A 32165-2019")</f>
        <v/>
      </c>
      <c r="X359">
        <f>HYPERLINK("https://klasma.github.io/Logging_2460/tillsyn/A 32165-2019 tillsynsbegäran.docx", "A 32165-2019")</f>
        <v/>
      </c>
      <c r="Y359">
        <f>HYPERLINK("https://klasma.github.io/Logging_2460/tillsynsmail/A 32165-2019 tillsynsbegäran mail.docx", "A 32165-2019")</f>
        <v/>
      </c>
      <c r="Z359">
        <f>HYPERLINK("https://klasma.github.io/Logging_2460/fåglar/A 32165-2019 prioriterade fågelarter.docx", "A 32165-2019")</f>
        <v/>
      </c>
    </row>
    <row r="360" ht="15" customHeight="1">
      <c r="A360" t="inlineStr">
        <is>
          <t>A 34921-2019</t>
        </is>
      </c>
      <c r="B360" s="1" t="n">
        <v>43658</v>
      </c>
      <c r="C360" s="1" t="n">
        <v>45788</v>
      </c>
      <c r="D360" t="inlineStr">
        <is>
          <t>VÄSTERBOTTENS LÄN</t>
        </is>
      </c>
      <c r="E360" t="inlineStr">
        <is>
          <t>NORSJÖ</t>
        </is>
      </c>
      <c r="G360" t="n">
        <v>12</v>
      </c>
      <c r="H360" t="n">
        <v>0</v>
      </c>
      <c r="I360" t="n">
        <v>3</v>
      </c>
      <c r="J360" t="n">
        <v>4</v>
      </c>
      <c r="K360" t="n">
        <v>0</v>
      </c>
      <c r="L360" t="n">
        <v>0</v>
      </c>
      <c r="M360" t="n">
        <v>0</v>
      </c>
      <c r="N360" t="n">
        <v>0</v>
      </c>
      <c r="O360" t="n">
        <v>4</v>
      </c>
      <c r="P360" t="n">
        <v>0</v>
      </c>
      <c r="Q360" t="n">
        <v>7</v>
      </c>
      <c r="R360" s="2" t="inlineStr">
        <is>
          <t>Gammelgransskål
Garnlav
Lunglav
Ullticka
Bårdlav
Luddlav
Stuplav</t>
        </is>
      </c>
      <c r="S360">
        <f>HYPERLINK("https://klasma.github.io/Logging_2417/artfynd/A 34921-2019 artfynd.xlsx", "A 34921-2019")</f>
        <v/>
      </c>
      <c r="T360">
        <f>HYPERLINK("https://klasma.github.io/Logging_2417/kartor/A 34921-2019 karta.png", "A 34921-2019")</f>
        <v/>
      </c>
      <c r="V360">
        <f>HYPERLINK("https://klasma.github.io/Logging_2417/klagomål/A 34921-2019 FSC-klagomål.docx", "A 34921-2019")</f>
        <v/>
      </c>
      <c r="W360">
        <f>HYPERLINK("https://klasma.github.io/Logging_2417/klagomålsmail/A 34921-2019 FSC-klagomål mail.docx", "A 34921-2019")</f>
        <v/>
      </c>
      <c r="X360">
        <f>HYPERLINK("https://klasma.github.io/Logging_2417/tillsyn/A 34921-2019 tillsynsbegäran.docx", "A 34921-2019")</f>
        <v/>
      </c>
      <c r="Y360">
        <f>HYPERLINK("https://klasma.github.io/Logging_2417/tillsynsmail/A 34921-2019 tillsynsbegäran mail.docx", "A 34921-2019")</f>
        <v/>
      </c>
    </row>
    <row r="361" ht="15" customHeight="1">
      <c r="A361" t="inlineStr">
        <is>
          <t>A 37271-2019</t>
        </is>
      </c>
      <c r="B361" s="1" t="n">
        <v>43677</v>
      </c>
      <c r="C361" s="1" t="n">
        <v>45788</v>
      </c>
      <c r="D361" t="inlineStr">
        <is>
          <t>VÄSTERBOTTENS LÄN</t>
        </is>
      </c>
      <c r="E361" t="inlineStr">
        <is>
          <t>VILHELMINA</t>
        </is>
      </c>
      <c r="F361" t="inlineStr">
        <is>
          <t>Holmen skog AB</t>
        </is>
      </c>
      <c r="G361" t="n">
        <v>5</v>
      </c>
      <c r="H361" t="n">
        <v>1</v>
      </c>
      <c r="I361" t="n">
        <v>0</v>
      </c>
      <c r="J361" t="n">
        <v>7</v>
      </c>
      <c r="K361" t="n">
        <v>0</v>
      </c>
      <c r="L361" t="n">
        <v>0</v>
      </c>
      <c r="M361" t="n">
        <v>0</v>
      </c>
      <c r="N361" t="n">
        <v>0</v>
      </c>
      <c r="O361" t="n">
        <v>7</v>
      </c>
      <c r="P361" t="n">
        <v>0</v>
      </c>
      <c r="Q361" t="n">
        <v>7</v>
      </c>
      <c r="R361" s="2" t="inlineStr">
        <is>
          <t>Gammelgransskål
Garnlav
Granticka
Gränsticka
Harticka
Tretåig hackspett
Vitgrynig nållav</t>
        </is>
      </c>
      <c r="S361">
        <f>HYPERLINK("https://klasma.github.io/Logging_2462/artfynd/A 37271-2019 artfynd.xlsx", "A 37271-2019")</f>
        <v/>
      </c>
      <c r="T361">
        <f>HYPERLINK("https://klasma.github.io/Logging_2462/kartor/A 37271-2019 karta.png", "A 37271-2019")</f>
        <v/>
      </c>
      <c r="V361">
        <f>HYPERLINK("https://klasma.github.io/Logging_2462/klagomål/A 37271-2019 FSC-klagomål.docx", "A 37271-2019")</f>
        <v/>
      </c>
      <c r="W361">
        <f>HYPERLINK("https://klasma.github.io/Logging_2462/klagomålsmail/A 37271-2019 FSC-klagomål mail.docx", "A 37271-2019")</f>
        <v/>
      </c>
      <c r="X361">
        <f>HYPERLINK("https://klasma.github.io/Logging_2462/tillsyn/A 37271-2019 tillsynsbegäran.docx", "A 37271-2019")</f>
        <v/>
      </c>
      <c r="Y361">
        <f>HYPERLINK("https://klasma.github.io/Logging_2462/tillsynsmail/A 37271-2019 tillsynsbegäran mail.docx", "A 37271-2019")</f>
        <v/>
      </c>
      <c r="Z361">
        <f>HYPERLINK("https://klasma.github.io/Logging_2462/fåglar/A 37271-2019 prioriterade fågelarter.docx", "A 37271-2019")</f>
        <v/>
      </c>
    </row>
    <row r="362" ht="15" customHeight="1">
      <c r="A362" t="inlineStr">
        <is>
          <t>A 47388-2019</t>
        </is>
      </c>
      <c r="B362" s="1" t="n">
        <v>43721</v>
      </c>
      <c r="C362" s="1" t="n">
        <v>45788</v>
      </c>
      <c r="D362" t="inlineStr">
        <is>
          <t>VÄSTERBOTTENS LÄN</t>
        </is>
      </c>
      <c r="E362" t="inlineStr">
        <is>
          <t>VILHELMINA</t>
        </is>
      </c>
      <c r="F362" t="inlineStr">
        <is>
          <t>SCA</t>
        </is>
      </c>
      <c r="G362" t="n">
        <v>15.4</v>
      </c>
      <c r="H362" t="n">
        <v>3</v>
      </c>
      <c r="I362" t="n">
        <v>0</v>
      </c>
      <c r="J362" t="n">
        <v>6</v>
      </c>
      <c r="K362" t="n">
        <v>0</v>
      </c>
      <c r="L362" t="n">
        <v>0</v>
      </c>
      <c r="M362" t="n">
        <v>0</v>
      </c>
      <c r="N362" t="n">
        <v>0</v>
      </c>
      <c r="O362" t="n">
        <v>6</v>
      </c>
      <c r="P362" t="n">
        <v>0</v>
      </c>
      <c r="Q362" t="n">
        <v>7</v>
      </c>
      <c r="R362" s="2" t="inlineStr">
        <is>
          <t>Brunpudrad nållav
Garnlav
Granticka
Spillkråka
Tretåig hackspett
Vitgrynig nållav
Revlummer</t>
        </is>
      </c>
      <c r="S362">
        <f>HYPERLINK("https://klasma.github.io/Logging_2462/artfynd/A 47388-2019 artfynd.xlsx", "A 47388-2019")</f>
        <v/>
      </c>
      <c r="T362">
        <f>HYPERLINK("https://klasma.github.io/Logging_2462/kartor/A 47388-2019 karta.png", "A 47388-2019")</f>
        <v/>
      </c>
      <c r="V362">
        <f>HYPERLINK("https://klasma.github.io/Logging_2462/klagomål/A 47388-2019 FSC-klagomål.docx", "A 47388-2019")</f>
        <v/>
      </c>
      <c r="W362">
        <f>HYPERLINK("https://klasma.github.io/Logging_2462/klagomålsmail/A 47388-2019 FSC-klagomål mail.docx", "A 47388-2019")</f>
        <v/>
      </c>
      <c r="X362">
        <f>HYPERLINK("https://klasma.github.io/Logging_2462/tillsyn/A 47388-2019 tillsynsbegäran.docx", "A 47388-2019")</f>
        <v/>
      </c>
      <c r="Y362">
        <f>HYPERLINK("https://klasma.github.io/Logging_2462/tillsynsmail/A 47388-2019 tillsynsbegäran mail.docx", "A 47388-2019")</f>
        <v/>
      </c>
      <c r="Z362">
        <f>HYPERLINK("https://klasma.github.io/Logging_2462/fåglar/A 47388-2019 prioriterade fågelarter.docx", "A 47388-2019")</f>
        <v/>
      </c>
    </row>
    <row r="363" ht="15" customHeight="1">
      <c r="A363" t="inlineStr">
        <is>
          <t>A 51856-2019</t>
        </is>
      </c>
      <c r="B363" s="1" t="n">
        <v>43741</v>
      </c>
      <c r="C363" s="1" t="n">
        <v>45788</v>
      </c>
      <c r="D363" t="inlineStr">
        <is>
          <t>VÄSTERBOTTENS LÄN</t>
        </is>
      </c>
      <c r="E363" t="inlineStr">
        <is>
          <t>STORUMAN</t>
        </is>
      </c>
      <c r="F363" t="inlineStr">
        <is>
          <t>Sveaskog</t>
        </is>
      </c>
      <c r="G363" t="n">
        <v>4.8</v>
      </c>
      <c r="H363" t="n">
        <v>4</v>
      </c>
      <c r="I363" t="n">
        <v>3</v>
      </c>
      <c r="J363" t="n">
        <v>3</v>
      </c>
      <c r="K363" t="n">
        <v>1</v>
      </c>
      <c r="L363" t="n">
        <v>0</v>
      </c>
      <c r="M363" t="n">
        <v>0</v>
      </c>
      <c r="N363" t="n">
        <v>0</v>
      </c>
      <c r="O363" t="n">
        <v>4</v>
      </c>
      <c r="P363" t="n">
        <v>1</v>
      </c>
      <c r="Q363" t="n">
        <v>7</v>
      </c>
      <c r="R363" s="2" t="inlineStr">
        <is>
          <t>Knärot
Harticka
Spillkråka
Tretåig hackspett
Bårdlav
Dropptaggsvamp
Korallrot</t>
        </is>
      </c>
      <c r="S363">
        <f>HYPERLINK("https://klasma.github.io/Logging_2421/artfynd/A 51856-2019 artfynd.xlsx", "A 51856-2019")</f>
        <v/>
      </c>
      <c r="T363">
        <f>HYPERLINK("https://klasma.github.io/Logging_2421/kartor/A 51856-2019 karta.png", "A 51856-2019")</f>
        <v/>
      </c>
      <c r="U363">
        <f>HYPERLINK("https://klasma.github.io/Logging_2421/knärot/A 51856-2019 karta knärot.png", "A 51856-2019")</f>
        <v/>
      </c>
      <c r="V363">
        <f>HYPERLINK("https://klasma.github.io/Logging_2421/klagomål/A 51856-2019 FSC-klagomål.docx", "A 51856-2019")</f>
        <v/>
      </c>
      <c r="W363">
        <f>HYPERLINK("https://klasma.github.io/Logging_2421/klagomålsmail/A 51856-2019 FSC-klagomål mail.docx", "A 51856-2019")</f>
        <v/>
      </c>
      <c r="X363">
        <f>HYPERLINK("https://klasma.github.io/Logging_2421/tillsyn/A 51856-2019 tillsynsbegäran.docx", "A 51856-2019")</f>
        <v/>
      </c>
      <c r="Y363">
        <f>HYPERLINK("https://klasma.github.io/Logging_2421/tillsynsmail/A 51856-2019 tillsynsbegäran mail.docx", "A 51856-2019")</f>
        <v/>
      </c>
      <c r="Z363">
        <f>HYPERLINK("https://klasma.github.io/Logging_2421/fåglar/A 51856-2019 prioriterade fågelarter.docx", "A 51856-2019")</f>
        <v/>
      </c>
    </row>
    <row r="364" ht="15" customHeight="1">
      <c r="A364" t="inlineStr">
        <is>
          <t>A 54435-2019</t>
        </is>
      </c>
      <c r="B364" s="1" t="n">
        <v>43747</v>
      </c>
      <c r="C364" s="1" t="n">
        <v>45788</v>
      </c>
      <c r="D364" t="inlineStr">
        <is>
          <t>VÄSTERBOTTENS LÄN</t>
        </is>
      </c>
      <c r="E364" t="inlineStr">
        <is>
          <t>LYCKSELE</t>
        </is>
      </c>
      <c r="G364" t="n">
        <v>10.5</v>
      </c>
      <c r="H364" t="n">
        <v>3</v>
      </c>
      <c r="I364" t="n">
        <v>1</v>
      </c>
      <c r="J364" t="n">
        <v>5</v>
      </c>
      <c r="K364" t="n">
        <v>0</v>
      </c>
      <c r="L364" t="n">
        <v>0</v>
      </c>
      <c r="M364" t="n">
        <v>0</v>
      </c>
      <c r="N364" t="n">
        <v>0</v>
      </c>
      <c r="O364" t="n">
        <v>5</v>
      </c>
      <c r="P364" t="n">
        <v>0</v>
      </c>
      <c r="Q364" t="n">
        <v>7</v>
      </c>
      <c r="R364" s="2" t="inlineStr">
        <is>
          <t>Garnlav
Järpe
Lunglav
Spillkråka
Ullticka
Vedticka
Fläcknycklar</t>
        </is>
      </c>
      <c r="S364">
        <f>HYPERLINK("https://klasma.github.io/Logging_2481/artfynd/A 54435-2019 artfynd.xlsx", "A 54435-2019")</f>
        <v/>
      </c>
      <c r="T364">
        <f>HYPERLINK("https://klasma.github.io/Logging_2481/kartor/A 54435-2019 karta.png", "A 54435-2019")</f>
        <v/>
      </c>
      <c r="V364">
        <f>HYPERLINK("https://klasma.github.io/Logging_2481/klagomål/A 54435-2019 FSC-klagomål.docx", "A 54435-2019")</f>
        <v/>
      </c>
      <c r="W364">
        <f>HYPERLINK("https://klasma.github.io/Logging_2481/klagomålsmail/A 54435-2019 FSC-klagomål mail.docx", "A 54435-2019")</f>
        <v/>
      </c>
      <c r="X364">
        <f>HYPERLINK("https://klasma.github.io/Logging_2481/tillsyn/A 54435-2019 tillsynsbegäran.docx", "A 54435-2019")</f>
        <v/>
      </c>
      <c r="Y364">
        <f>HYPERLINK("https://klasma.github.io/Logging_2481/tillsynsmail/A 54435-2019 tillsynsbegäran mail.docx", "A 54435-2019")</f>
        <v/>
      </c>
      <c r="Z364">
        <f>HYPERLINK("https://klasma.github.io/Logging_2481/fåglar/A 54435-2019 prioriterade fågelarter.docx", "A 54435-2019")</f>
        <v/>
      </c>
    </row>
    <row r="365" ht="15" customHeight="1">
      <c r="A365" t="inlineStr">
        <is>
          <t>A 3019-2020</t>
        </is>
      </c>
      <c r="B365" s="1" t="n">
        <v>43851</v>
      </c>
      <c r="C365" s="1" t="n">
        <v>45788</v>
      </c>
      <c r="D365" t="inlineStr">
        <is>
          <t>VÄSTERBOTTENS LÄN</t>
        </is>
      </c>
      <c r="E365" t="inlineStr">
        <is>
          <t>UMEÅ</t>
        </is>
      </c>
      <c r="F365" t="inlineStr">
        <is>
          <t>Kommuner</t>
        </is>
      </c>
      <c r="G365" t="n">
        <v>41.7</v>
      </c>
      <c r="H365" t="n">
        <v>4</v>
      </c>
      <c r="I365" t="n">
        <v>2</v>
      </c>
      <c r="J365" t="n">
        <v>5</v>
      </c>
      <c r="K365" t="n">
        <v>0</v>
      </c>
      <c r="L365" t="n">
        <v>0</v>
      </c>
      <c r="M365" t="n">
        <v>0</v>
      </c>
      <c r="N365" t="n">
        <v>0</v>
      </c>
      <c r="O365" t="n">
        <v>5</v>
      </c>
      <c r="P365" t="n">
        <v>0</v>
      </c>
      <c r="Q365" t="n">
        <v>7</v>
      </c>
      <c r="R365" s="2" t="inlineStr">
        <is>
          <t>Grönsångare
Kråka
Nordfladdermus
Rödvingetrast
Svartvit taggsvamp
Grovticka
Grön jordtunga</t>
        </is>
      </c>
      <c r="S365">
        <f>HYPERLINK("https://klasma.github.io/Logging_2480/artfynd/A 3019-2020 artfynd.xlsx", "A 3019-2020")</f>
        <v/>
      </c>
      <c r="T365">
        <f>HYPERLINK("https://klasma.github.io/Logging_2480/kartor/A 3019-2020 karta.png", "A 3019-2020")</f>
        <v/>
      </c>
      <c r="V365">
        <f>HYPERLINK("https://klasma.github.io/Logging_2480/klagomål/A 3019-2020 FSC-klagomål.docx", "A 3019-2020")</f>
        <v/>
      </c>
      <c r="W365">
        <f>HYPERLINK("https://klasma.github.io/Logging_2480/klagomålsmail/A 3019-2020 FSC-klagomål mail.docx", "A 3019-2020")</f>
        <v/>
      </c>
      <c r="X365">
        <f>HYPERLINK("https://klasma.github.io/Logging_2480/tillsyn/A 3019-2020 tillsynsbegäran.docx", "A 3019-2020")</f>
        <v/>
      </c>
      <c r="Y365">
        <f>HYPERLINK("https://klasma.github.io/Logging_2480/tillsynsmail/A 3019-2020 tillsynsbegäran mail.docx", "A 3019-2020")</f>
        <v/>
      </c>
      <c r="Z365">
        <f>HYPERLINK("https://klasma.github.io/Logging_2480/fåglar/A 3019-2020 prioriterade fågelarter.docx", "A 3019-2020")</f>
        <v/>
      </c>
    </row>
    <row r="366" ht="15" customHeight="1">
      <c r="A366" t="inlineStr">
        <is>
          <t>A 12237-2020</t>
        </is>
      </c>
      <c r="B366" s="1" t="n">
        <v>43895</v>
      </c>
      <c r="C366" s="1" t="n">
        <v>45788</v>
      </c>
      <c r="D366" t="inlineStr">
        <is>
          <t>VÄSTERBOTTENS LÄN</t>
        </is>
      </c>
      <c r="E366" t="inlineStr">
        <is>
          <t>UMEÅ</t>
        </is>
      </c>
      <c r="F366" t="inlineStr">
        <is>
          <t>Holmen skog AB</t>
        </is>
      </c>
      <c r="G366" t="n">
        <v>3.2</v>
      </c>
      <c r="H366" t="n">
        <v>1</v>
      </c>
      <c r="I366" t="n">
        <v>2</v>
      </c>
      <c r="J366" t="n">
        <v>4</v>
      </c>
      <c r="K366" t="n">
        <v>1</v>
      </c>
      <c r="L366" t="n">
        <v>0</v>
      </c>
      <c r="M366" t="n">
        <v>0</v>
      </c>
      <c r="N366" t="n">
        <v>0</v>
      </c>
      <c r="O366" t="n">
        <v>5</v>
      </c>
      <c r="P366" t="n">
        <v>1</v>
      </c>
      <c r="Q366" t="n">
        <v>7</v>
      </c>
      <c r="R366" s="2" t="inlineStr">
        <is>
          <t>Rynkskinn
Garnlav
Granticka
Spillkråka
Ullticka
Stuplav
Vedticka</t>
        </is>
      </c>
      <c r="S366">
        <f>HYPERLINK("https://klasma.github.io/Logging_2480/artfynd/A 12237-2020 artfynd.xlsx", "A 12237-2020")</f>
        <v/>
      </c>
      <c r="T366">
        <f>HYPERLINK("https://klasma.github.io/Logging_2480/kartor/A 12237-2020 karta.png", "A 12237-2020")</f>
        <v/>
      </c>
      <c r="V366">
        <f>HYPERLINK("https://klasma.github.io/Logging_2480/klagomål/A 12237-2020 FSC-klagomål.docx", "A 12237-2020")</f>
        <v/>
      </c>
      <c r="W366">
        <f>HYPERLINK("https://klasma.github.io/Logging_2480/klagomålsmail/A 12237-2020 FSC-klagomål mail.docx", "A 12237-2020")</f>
        <v/>
      </c>
      <c r="X366">
        <f>HYPERLINK("https://klasma.github.io/Logging_2480/tillsyn/A 12237-2020 tillsynsbegäran.docx", "A 12237-2020")</f>
        <v/>
      </c>
      <c r="Y366">
        <f>HYPERLINK("https://klasma.github.io/Logging_2480/tillsynsmail/A 12237-2020 tillsynsbegäran mail.docx", "A 12237-2020")</f>
        <v/>
      </c>
      <c r="Z366">
        <f>HYPERLINK("https://klasma.github.io/Logging_2480/fåglar/A 12237-2020 prioriterade fågelarter.docx", "A 12237-2020")</f>
        <v/>
      </c>
    </row>
    <row r="367" ht="15" customHeight="1">
      <c r="A367" t="inlineStr">
        <is>
          <t>A 30834-2020</t>
        </is>
      </c>
      <c r="B367" s="1" t="n">
        <v>44011</v>
      </c>
      <c r="C367" s="1" t="n">
        <v>45788</v>
      </c>
      <c r="D367" t="inlineStr">
        <is>
          <t>VÄSTERBOTTENS LÄN</t>
        </is>
      </c>
      <c r="E367" t="inlineStr">
        <is>
          <t>SKELLEFTEÅ</t>
        </is>
      </c>
      <c r="F367" t="inlineStr">
        <is>
          <t>Kyrkan</t>
        </is>
      </c>
      <c r="G367" t="n">
        <v>8.4</v>
      </c>
      <c r="H367" t="n">
        <v>2</v>
      </c>
      <c r="I367" t="n">
        <v>0</v>
      </c>
      <c r="J367" t="n">
        <v>6</v>
      </c>
      <c r="K367" t="n">
        <v>1</v>
      </c>
      <c r="L367" t="n">
        <v>0</v>
      </c>
      <c r="M367" t="n">
        <v>0</v>
      </c>
      <c r="N367" t="n">
        <v>0</v>
      </c>
      <c r="O367" t="n">
        <v>7</v>
      </c>
      <c r="P367" t="n">
        <v>1</v>
      </c>
      <c r="Q367" t="n">
        <v>7</v>
      </c>
      <c r="R367" s="2" t="inlineStr">
        <is>
          <t>Gräddticka
Harticka
Rosenticka
Spillkråka
Stjärntagging
Tretåig hackspett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c r="Z367">
        <f>HYPERLINK("https://klasma.github.io/Logging_2482/fåglar/A 30834-2020 prioriterade fågelarter.docx", "A 30834-2020")</f>
        <v/>
      </c>
    </row>
    <row r="368" ht="15" customHeight="1">
      <c r="A368" t="inlineStr">
        <is>
          <t>A 42930-2020</t>
        </is>
      </c>
      <c r="B368" s="1" t="n">
        <v>44078</v>
      </c>
      <c r="C368" s="1" t="n">
        <v>45788</v>
      </c>
      <c r="D368" t="inlineStr">
        <is>
          <t>VÄSTERBOTTENS LÄN</t>
        </is>
      </c>
      <c r="E368" t="inlineStr">
        <is>
          <t>STORUMAN</t>
        </is>
      </c>
      <c r="F368" t="inlineStr">
        <is>
          <t>Sveaskog</t>
        </is>
      </c>
      <c r="G368" t="n">
        <v>3.1</v>
      </c>
      <c r="H368" t="n">
        <v>1</v>
      </c>
      <c r="I368" t="n">
        <v>2</v>
      </c>
      <c r="J368" t="n">
        <v>5</v>
      </c>
      <c r="K368" t="n">
        <v>0</v>
      </c>
      <c r="L368" t="n">
        <v>0</v>
      </c>
      <c r="M368" t="n">
        <v>0</v>
      </c>
      <c r="N368" t="n">
        <v>0</v>
      </c>
      <c r="O368" t="n">
        <v>5</v>
      </c>
      <c r="P368" t="n">
        <v>0</v>
      </c>
      <c r="Q368" t="n">
        <v>7</v>
      </c>
      <c r="R368" s="2" t="inlineStr">
        <is>
          <t>Garnlav
Kolflarnlav
Lunglav
Tretåig hackspett
Vitgrynig nållav
Dropptaggsvamp
Stuplav</t>
        </is>
      </c>
      <c r="S368">
        <f>HYPERLINK("https://klasma.github.io/Logging_2421/artfynd/A 42930-2020 artfynd.xlsx", "A 42930-2020")</f>
        <v/>
      </c>
      <c r="T368">
        <f>HYPERLINK("https://klasma.github.io/Logging_2421/kartor/A 42930-2020 karta.png", "A 42930-2020")</f>
        <v/>
      </c>
      <c r="U368">
        <f>HYPERLINK("https://klasma.github.io/Logging_2421/knärot/A 42930-2020 karta knärot.png", "A 42930-2020")</f>
        <v/>
      </c>
      <c r="V368">
        <f>HYPERLINK("https://klasma.github.io/Logging_2421/klagomål/A 42930-2020 FSC-klagomål.docx", "A 42930-2020")</f>
        <v/>
      </c>
      <c r="W368">
        <f>HYPERLINK("https://klasma.github.io/Logging_2421/klagomålsmail/A 42930-2020 FSC-klagomål mail.docx", "A 42930-2020")</f>
        <v/>
      </c>
      <c r="X368">
        <f>HYPERLINK("https://klasma.github.io/Logging_2421/tillsyn/A 42930-2020 tillsynsbegäran.docx", "A 42930-2020")</f>
        <v/>
      </c>
      <c r="Y368">
        <f>HYPERLINK("https://klasma.github.io/Logging_2421/tillsynsmail/A 42930-2020 tillsynsbegäran mail.docx", "A 42930-2020")</f>
        <v/>
      </c>
      <c r="Z368">
        <f>HYPERLINK("https://klasma.github.io/Logging_2421/fåglar/A 42930-2020 prioriterade fågelarter.docx", "A 42930-2020")</f>
        <v/>
      </c>
    </row>
    <row r="369" ht="15" customHeight="1">
      <c r="A369" t="inlineStr">
        <is>
          <t>A 48782-2020</t>
        </is>
      </c>
      <c r="B369" s="1" t="n">
        <v>44103</v>
      </c>
      <c r="C369" s="1" t="n">
        <v>45788</v>
      </c>
      <c r="D369" t="inlineStr">
        <is>
          <t>VÄSTERBOTTENS LÄN</t>
        </is>
      </c>
      <c r="E369" t="inlineStr">
        <is>
          <t>LYCKSELE</t>
        </is>
      </c>
      <c r="F369" t="inlineStr">
        <is>
          <t>Sveaskog</t>
        </is>
      </c>
      <c r="G369" t="n">
        <v>2.1</v>
      </c>
      <c r="H369" t="n">
        <v>0</v>
      </c>
      <c r="I369" t="n">
        <v>1</v>
      </c>
      <c r="J369" t="n">
        <v>6</v>
      </c>
      <c r="K369" t="n">
        <v>0</v>
      </c>
      <c r="L369" t="n">
        <v>0</v>
      </c>
      <c r="M369" t="n">
        <v>0</v>
      </c>
      <c r="N369" t="n">
        <v>0</v>
      </c>
      <c r="O369" t="n">
        <v>6</v>
      </c>
      <c r="P369" t="n">
        <v>0</v>
      </c>
      <c r="Q369" t="n">
        <v>7</v>
      </c>
      <c r="R369" s="2" t="inlineStr">
        <is>
          <t>Gammelgransskål
Garnlav
Granticka
Gränsticka
Ullticka
Vedskivlav
Bronshjon</t>
        </is>
      </c>
      <c r="S369">
        <f>HYPERLINK("https://klasma.github.io/Logging_2481/artfynd/A 48782-2020 artfynd.xlsx", "A 48782-2020")</f>
        <v/>
      </c>
      <c r="T369">
        <f>HYPERLINK("https://klasma.github.io/Logging_2481/kartor/A 48782-2020 karta.png", "A 48782-2020")</f>
        <v/>
      </c>
      <c r="V369">
        <f>HYPERLINK("https://klasma.github.io/Logging_2481/klagomål/A 48782-2020 FSC-klagomål.docx", "A 48782-2020")</f>
        <v/>
      </c>
      <c r="W369">
        <f>HYPERLINK("https://klasma.github.io/Logging_2481/klagomålsmail/A 48782-2020 FSC-klagomål mail.docx", "A 48782-2020")</f>
        <v/>
      </c>
      <c r="X369">
        <f>HYPERLINK("https://klasma.github.io/Logging_2481/tillsyn/A 48782-2020 tillsynsbegäran.docx", "A 48782-2020")</f>
        <v/>
      </c>
      <c r="Y369">
        <f>HYPERLINK("https://klasma.github.io/Logging_2481/tillsynsmail/A 48782-2020 tillsynsbegäran mail.docx", "A 48782-2020")</f>
        <v/>
      </c>
    </row>
    <row r="370" ht="15" customHeight="1">
      <c r="A370" t="inlineStr">
        <is>
          <t>A 50008-2020</t>
        </is>
      </c>
      <c r="B370" s="1" t="n">
        <v>44109</v>
      </c>
      <c r="C370" s="1" t="n">
        <v>45788</v>
      </c>
      <c r="D370" t="inlineStr">
        <is>
          <t>VÄSTERBOTTENS LÄN</t>
        </is>
      </c>
      <c r="E370" t="inlineStr">
        <is>
          <t>LYCKSELE</t>
        </is>
      </c>
      <c r="F370" t="inlineStr">
        <is>
          <t>Sveaskog</t>
        </is>
      </c>
      <c r="G370" t="n">
        <v>1.3</v>
      </c>
      <c r="H370" t="n">
        <v>3</v>
      </c>
      <c r="I370" t="n">
        <v>0</v>
      </c>
      <c r="J370" t="n">
        <v>5</v>
      </c>
      <c r="K370" t="n">
        <v>2</v>
      </c>
      <c r="L370" t="n">
        <v>0</v>
      </c>
      <c r="M370" t="n">
        <v>0</v>
      </c>
      <c r="N370" t="n">
        <v>0</v>
      </c>
      <c r="O370" t="n">
        <v>7</v>
      </c>
      <c r="P370" t="n">
        <v>2</v>
      </c>
      <c r="Q370" t="n">
        <v>7</v>
      </c>
      <c r="R370" s="2" t="inlineStr">
        <is>
          <t>Doftticka
Knärot
Garnlav
Granticka
Lunglav
Tretåig hackspett
Ullticka</t>
        </is>
      </c>
      <c r="S370">
        <f>HYPERLINK("https://klasma.github.io/Logging_2481/artfynd/A 50008-2020 artfynd.xlsx", "A 50008-2020")</f>
        <v/>
      </c>
      <c r="T370">
        <f>HYPERLINK("https://klasma.github.io/Logging_2481/kartor/A 50008-2020 karta.png", "A 50008-2020")</f>
        <v/>
      </c>
      <c r="U370">
        <f>HYPERLINK("https://klasma.github.io/Logging_2481/knärot/A 50008-2020 karta knärot.png", "A 50008-2020")</f>
        <v/>
      </c>
      <c r="V370">
        <f>HYPERLINK("https://klasma.github.io/Logging_2481/klagomål/A 50008-2020 FSC-klagomål.docx", "A 50008-2020")</f>
        <v/>
      </c>
      <c r="W370">
        <f>HYPERLINK("https://klasma.github.io/Logging_2481/klagomålsmail/A 50008-2020 FSC-klagomål mail.docx", "A 50008-2020")</f>
        <v/>
      </c>
      <c r="X370">
        <f>HYPERLINK("https://klasma.github.io/Logging_2481/tillsyn/A 50008-2020 tillsynsbegäran.docx", "A 50008-2020")</f>
        <v/>
      </c>
      <c r="Y370">
        <f>HYPERLINK("https://klasma.github.io/Logging_2481/tillsynsmail/A 50008-2020 tillsynsbegäran mail.docx", "A 50008-2020")</f>
        <v/>
      </c>
      <c r="Z370">
        <f>HYPERLINK("https://klasma.github.io/Logging_2481/fåglar/A 50008-2020 prioriterade fågelarter.docx", "A 50008-2020")</f>
        <v/>
      </c>
    </row>
    <row r="371" ht="15" customHeight="1">
      <c r="A371" t="inlineStr">
        <is>
          <t>A 52153-2020</t>
        </is>
      </c>
      <c r="B371" s="1" t="n">
        <v>44117</v>
      </c>
      <c r="C371" s="1" t="n">
        <v>45788</v>
      </c>
      <c r="D371" t="inlineStr">
        <is>
          <t>VÄSTERBOTTENS LÄN</t>
        </is>
      </c>
      <c r="E371" t="inlineStr">
        <is>
          <t>UMEÅ</t>
        </is>
      </c>
      <c r="F371" t="inlineStr">
        <is>
          <t>Sveaskog</t>
        </is>
      </c>
      <c r="G371" t="n">
        <v>6.4</v>
      </c>
      <c r="H371" t="n">
        <v>3</v>
      </c>
      <c r="I371" t="n">
        <v>0</v>
      </c>
      <c r="J371" t="n">
        <v>6</v>
      </c>
      <c r="K371" t="n">
        <v>1</v>
      </c>
      <c r="L371" t="n">
        <v>0</v>
      </c>
      <c r="M371" t="n">
        <v>0</v>
      </c>
      <c r="N371" t="n">
        <v>0</v>
      </c>
      <c r="O371" t="n">
        <v>7</v>
      </c>
      <c r="P371" t="n">
        <v>1</v>
      </c>
      <c r="Q371" t="n">
        <v>7</v>
      </c>
      <c r="R371" s="2" t="inlineStr">
        <is>
          <t>Knärot
Garnlav
Granticka
Nordfladdermus
Tretåig hackspett
Ullticka
Vaddporing</t>
        </is>
      </c>
      <c r="S371">
        <f>HYPERLINK("https://klasma.github.io/Logging_2480/artfynd/A 52153-2020 artfynd.xlsx", "A 52153-2020")</f>
        <v/>
      </c>
      <c r="T371">
        <f>HYPERLINK("https://klasma.github.io/Logging_2480/kartor/A 52153-2020 karta.png", "A 52153-2020")</f>
        <v/>
      </c>
      <c r="U371">
        <f>HYPERLINK("https://klasma.github.io/Logging_2480/knärot/A 52153-2020 karta knärot.png", "A 52153-2020")</f>
        <v/>
      </c>
      <c r="V371">
        <f>HYPERLINK("https://klasma.github.io/Logging_2480/klagomål/A 52153-2020 FSC-klagomål.docx", "A 52153-2020")</f>
        <v/>
      </c>
      <c r="W371">
        <f>HYPERLINK("https://klasma.github.io/Logging_2480/klagomålsmail/A 52153-2020 FSC-klagomål mail.docx", "A 52153-2020")</f>
        <v/>
      </c>
      <c r="X371">
        <f>HYPERLINK("https://klasma.github.io/Logging_2480/tillsyn/A 52153-2020 tillsynsbegäran.docx", "A 52153-2020")</f>
        <v/>
      </c>
      <c r="Y371">
        <f>HYPERLINK("https://klasma.github.io/Logging_2480/tillsynsmail/A 52153-2020 tillsynsbegäran mail.docx", "A 52153-2020")</f>
        <v/>
      </c>
      <c r="Z371">
        <f>HYPERLINK("https://klasma.github.io/Logging_2480/fåglar/A 52153-2020 prioriterade fågelarter.docx", "A 52153-2020")</f>
        <v/>
      </c>
    </row>
    <row r="372" ht="15" customHeight="1">
      <c r="A372" t="inlineStr">
        <is>
          <t>A 52547-2020</t>
        </is>
      </c>
      <c r="B372" s="1" t="n">
        <v>44118</v>
      </c>
      <c r="C372" s="1" t="n">
        <v>45788</v>
      </c>
      <c r="D372" t="inlineStr">
        <is>
          <t>VÄSTERBOTTENS LÄN</t>
        </is>
      </c>
      <c r="E372" t="inlineStr">
        <is>
          <t>VINDELN</t>
        </is>
      </c>
      <c r="F372" t="inlineStr">
        <is>
          <t>Sveaskog</t>
        </is>
      </c>
      <c r="G372" t="n">
        <v>12.6</v>
      </c>
      <c r="H372" t="n">
        <v>0</v>
      </c>
      <c r="I372" t="n">
        <v>2</v>
      </c>
      <c r="J372" t="n">
        <v>4</v>
      </c>
      <c r="K372" t="n">
        <v>1</v>
      </c>
      <c r="L372" t="n">
        <v>0</v>
      </c>
      <c r="M372" t="n">
        <v>0</v>
      </c>
      <c r="N372" t="n">
        <v>0</v>
      </c>
      <c r="O372" t="n">
        <v>5</v>
      </c>
      <c r="P372" t="n">
        <v>1</v>
      </c>
      <c r="Q372" t="n">
        <v>7</v>
      </c>
      <c r="R372" s="2" t="inlineStr">
        <is>
          <t>Fläckporing
Blå taggsvamp
Kolflarnlav
Motaggsvamp
Vedskivlav
Dropptaggsvamp
Vedticka</t>
        </is>
      </c>
      <c r="S372">
        <f>HYPERLINK("https://klasma.github.io/Logging_2404/artfynd/A 52547-2020 artfynd.xlsx", "A 52547-2020")</f>
        <v/>
      </c>
      <c r="T372">
        <f>HYPERLINK("https://klasma.github.io/Logging_2404/kartor/A 52547-2020 karta.png", "A 52547-2020")</f>
        <v/>
      </c>
      <c r="V372">
        <f>HYPERLINK("https://klasma.github.io/Logging_2404/klagomål/A 52547-2020 FSC-klagomål.docx", "A 52547-2020")</f>
        <v/>
      </c>
      <c r="W372">
        <f>HYPERLINK("https://klasma.github.io/Logging_2404/klagomålsmail/A 52547-2020 FSC-klagomål mail.docx", "A 52547-2020")</f>
        <v/>
      </c>
      <c r="X372">
        <f>HYPERLINK("https://klasma.github.io/Logging_2404/tillsyn/A 52547-2020 tillsynsbegäran.docx", "A 52547-2020")</f>
        <v/>
      </c>
      <c r="Y372">
        <f>HYPERLINK("https://klasma.github.io/Logging_2404/tillsynsmail/A 52547-2020 tillsynsbegäran mail.docx", "A 52547-2020")</f>
        <v/>
      </c>
    </row>
    <row r="373" ht="15" customHeight="1">
      <c r="A373" t="inlineStr">
        <is>
          <t>A 1881-2021</t>
        </is>
      </c>
      <c r="B373" s="1" t="n">
        <v>44210</v>
      </c>
      <c r="C373" s="1" t="n">
        <v>45788</v>
      </c>
      <c r="D373" t="inlineStr">
        <is>
          <t>VÄSTERBOTTENS LÄN</t>
        </is>
      </c>
      <c r="E373" t="inlineStr">
        <is>
          <t>ÅSELE</t>
        </is>
      </c>
      <c r="F373" t="inlineStr">
        <is>
          <t>Sveaskog</t>
        </is>
      </c>
      <c r="G373" t="n">
        <v>9.699999999999999</v>
      </c>
      <c r="H373" t="n">
        <v>0</v>
      </c>
      <c r="I373" t="n">
        <v>2</v>
      </c>
      <c r="J373" t="n">
        <v>5</v>
      </c>
      <c r="K373" t="n">
        <v>0</v>
      </c>
      <c r="L373" t="n">
        <v>0</v>
      </c>
      <c r="M373" t="n">
        <v>0</v>
      </c>
      <c r="N373" t="n">
        <v>0</v>
      </c>
      <c r="O373" t="n">
        <v>5</v>
      </c>
      <c r="P373" t="n">
        <v>0</v>
      </c>
      <c r="Q373" t="n">
        <v>7</v>
      </c>
      <c r="R373" s="2" t="inlineStr">
        <is>
          <t>Gammelgransskål
Gränsticka
Lunglav
Skrovellav
Tallticka
Stor aspticka
Vedticka</t>
        </is>
      </c>
      <c r="S373">
        <f>HYPERLINK("https://klasma.github.io/Logging_2463/artfynd/A 1881-2021 artfynd.xlsx", "A 1881-2021")</f>
        <v/>
      </c>
      <c r="T373">
        <f>HYPERLINK("https://klasma.github.io/Logging_2463/kartor/A 1881-2021 karta.png", "A 1881-2021")</f>
        <v/>
      </c>
      <c r="V373">
        <f>HYPERLINK("https://klasma.github.io/Logging_2463/klagomål/A 1881-2021 FSC-klagomål.docx", "A 1881-2021")</f>
        <v/>
      </c>
      <c r="W373">
        <f>HYPERLINK("https://klasma.github.io/Logging_2463/klagomålsmail/A 1881-2021 FSC-klagomål mail.docx", "A 1881-2021")</f>
        <v/>
      </c>
      <c r="X373">
        <f>HYPERLINK("https://klasma.github.io/Logging_2463/tillsyn/A 1881-2021 tillsynsbegäran.docx", "A 1881-2021")</f>
        <v/>
      </c>
      <c r="Y373">
        <f>HYPERLINK("https://klasma.github.io/Logging_2463/tillsynsmail/A 1881-2021 tillsynsbegäran mail.docx", "A 1881-2021")</f>
        <v/>
      </c>
    </row>
    <row r="374" ht="15" customHeight="1">
      <c r="A374" t="inlineStr">
        <is>
          <t>A 10306-2021</t>
        </is>
      </c>
      <c r="B374" s="1" t="n">
        <v>44257</v>
      </c>
      <c r="C374" s="1" t="n">
        <v>45788</v>
      </c>
      <c r="D374" t="inlineStr">
        <is>
          <t>VÄSTERBOTTENS LÄN</t>
        </is>
      </c>
      <c r="E374" t="inlineStr">
        <is>
          <t>VINDELN</t>
        </is>
      </c>
      <c r="F374" t="inlineStr">
        <is>
          <t>Sveaskog</t>
        </is>
      </c>
      <c r="G374" t="n">
        <v>3.9</v>
      </c>
      <c r="H374" t="n">
        <v>1</v>
      </c>
      <c r="I374" t="n">
        <v>1</v>
      </c>
      <c r="J374" t="n">
        <v>5</v>
      </c>
      <c r="K374" t="n">
        <v>1</v>
      </c>
      <c r="L374" t="n">
        <v>0</v>
      </c>
      <c r="M374" t="n">
        <v>0</v>
      </c>
      <c r="N374" t="n">
        <v>0</v>
      </c>
      <c r="O374" t="n">
        <v>6</v>
      </c>
      <c r="P374" t="n">
        <v>1</v>
      </c>
      <c r="Q374" t="n">
        <v>7</v>
      </c>
      <c r="R374" s="2" t="inlineStr">
        <is>
          <t>Blackticka
Garnlav
Kolflarnlav
Tallticka
Talltita
Ullticka
Vedticka</t>
        </is>
      </c>
      <c r="S374">
        <f>HYPERLINK("https://klasma.github.io/Logging_2404/artfynd/A 10306-2021 artfynd.xlsx", "A 10306-2021")</f>
        <v/>
      </c>
      <c r="T374">
        <f>HYPERLINK("https://klasma.github.io/Logging_2404/kartor/A 10306-2021 karta.png", "A 10306-2021")</f>
        <v/>
      </c>
      <c r="V374">
        <f>HYPERLINK("https://klasma.github.io/Logging_2404/klagomål/A 10306-2021 FSC-klagomål.docx", "A 10306-2021")</f>
        <v/>
      </c>
      <c r="W374">
        <f>HYPERLINK("https://klasma.github.io/Logging_2404/klagomålsmail/A 10306-2021 FSC-klagomål mail.docx", "A 10306-2021")</f>
        <v/>
      </c>
      <c r="X374">
        <f>HYPERLINK("https://klasma.github.io/Logging_2404/tillsyn/A 10306-2021 tillsynsbegäran.docx", "A 10306-2021")</f>
        <v/>
      </c>
      <c r="Y374">
        <f>HYPERLINK("https://klasma.github.io/Logging_2404/tillsynsmail/A 10306-2021 tillsynsbegäran mail.docx", "A 10306-2021")</f>
        <v/>
      </c>
      <c r="Z374">
        <f>HYPERLINK("https://klasma.github.io/Logging_2404/fåglar/A 10306-2021 prioriterade fågelarter.docx", "A 10306-2021")</f>
        <v/>
      </c>
    </row>
    <row r="375" ht="15" customHeight="1">
      <c r="A375" t="inlineStr">
        <is>
          <t>A 52101-2021</t>
        </is>
      </c>
      <c r="B375" s="1" t="n">
        <v>44463</v>
      </c>
      <c r="C375" s="1" t="n">
        <v>45788</v>
      </c>
      <c r="D375" t="inlineStr">
        <is>
          <t>VÄSTERBOTTENS LÄN</t>
        </is>
      </c>
      <c r="E375" t="inlineStr">
        <is>
          <t>VINDELN</t>
        </is>
      </c>
      <c r="F375" t="inlineStr">
        <is>
          <t>Sveaskog</t>
        </is>
      </c>
      <c r="G375" t="n">
        <v>12.9</v>
      </c>
      <c r="H375" t="n">
        <v>0</v>
      </c>
      <c r="I375" t="n">
        <v>1</v>
      </c>
      <c r="J375" t="n">
        <v>5</v>
      </c>
      <c r="K375" t="n">
        <v>1</v>
      </c>
      <c r="L375" t="n">
        <v>0</v>
      </c>
      <c r="M375" t="n">
        <v>0</v>
      </c>
      <c r="N375" t="n">
        <v>0</v>
      </c>
      <c r="O375" t="n">
        <v>6</v>
      </c>
      <c r="P375" t="n">
        <v>1</v>
      </c>
      <c r="Q375" t="n">
        <v>7</v>
      </c>
      <c r="R375" s="2" t="inlineStr">
        <is>
          <t>Goliatmusseron
Blå taggsvamp
Orange taggsvamp
Skrovlig taggsvamp
Svart taggsvamp
Vaddporing
Dropptaggsvamp</t>
        </is>
      </c>
      <c r="S375">
        <f>HYPERLINK("https://klasma.github.io/Logging_2404/artfynd/A 52101-2021 artfynd.xlsx", "A 52101-2021")</f>
        <v/>
      </c>
      <c r="T375">
        <f>HYPERLINK("https://klasma.github.io/Logging_2404/kartor/A 52101-2021 karta.png", "A 52101-2021")</f>
        <v/>
      </c>
      <c r="V375">
        <f>HYPERLINK("https://klasma.github.io/Logging_2404/klagomål/A 52101-2021 FSC-klagomål.docx", "A 52101-2021")</f>
        <v/>
      </c>
      <c r="W375">
        <f>HYPERLINK("https://klasma.github.io/Logging_2404/klagomålsmail/A 52101-2021 FSC-klagomål mail.docx", "A 52101-2021")</f>
        <v/>
      </c>
      <c r="X375">
        <f>HYPERLINK("https://klasma.github.io/Logging_2404/tillsyn/A 52101-2021 tillsynsbegäran.docx", "A 52101-2021")</f>
        <v/>
      </c>
      <c r="Y375">
        <f>HYPERLINK("https://klasma.github.io/Logging_2404/tillsynsmail/A 52101-2021 tillsynsbegäran mail.docx", "A 52101-2021")</f>
        <v/>
      </c>
    </row>
    <row r="376" ht="15" customHeight="1">
      <c r="A376" t="inlineStr">
        <is>
          <t>A 3358-2022</t>
        </is>
      </c>
      <c r="B376" s="1" t="n">
        <v>44585</v>
      </c>
      <c r="C376" s="1" t="n">
        <v>45788</v>
      </c>
      <c r="D376" t="inlineStr">
        <is>
          <t>VÄSTERBOTTENS LÄN</t>
        </is>
      </c>
      <c r="E376" t="inlineStr">
        <is>
          <t>STORUMAN</t>
        </is>
      </c>
      <c r="G376" t="n">
        <v>1.8</v>
      </c>
      <c r="H376" t="n">
        <v>3</v>
      </c>
      <c r="I376" t="n">
        <v>1</v>
      </c>
      <c r="J376" t="n">
        <v>5</v>
      </c>
      <c r="K376" t="n">
        <v>0</v>
      </c>
      <c r="L376" t="n">
        <v>0</v>
      </c>
      <c r="M376" t="n">
        <v>0</v>
      </c>
      <c r="N376" t="n">
        <v>0</v>
      </c>
      <c r="O376" t="n">
        <v>5</v>
      </c>
      <c r="P376" t="n">
        <v>0</v>
      </c>
      <c r="Q376" t="n">
        <v>7</v>
      </c>
      <c r="R376" s="2" t="inlineStr">
        <is>
          <t>Garnlav
Rosenticka
Talltita
Tretåig hackspett
Ullticka
Finbräken
Skogsrör</t>
        </is>
      </c>
      <c r="S376">
        <f>HYPERLINK("https://klasma.github.io/Logging_2421/artfynd/A 3358-2022 artfynd.xlsx", "A 3358-2022")</f>
        <v/>
      </c>
      <c r="T376">
        <f>HYPERLINK("https://klasma.github.io/Logging_2421/kartor/A 3358-2022 karta.png", "A 3358-2022")</f>
        <v/>
      </c>
      <c r="V376">
        <f>HYPERLINK("https://klasma.github.io/Logging_2421/klagomål/A 3358-2022 FSC-klagomål.docx", "A 3358-2022")</f>
        <v/>
      </c>
      <c r="W376">
        <f>HYPERLINK("https://klasma.github.io/Logging_2421/klagomålsmail/A 3358-2022 FSC-klagomål mail.docx", "A 3358-2022")</f>
        <v/>
      </c>
      <c r="X376">
        <f>HYPERLINK("https://klasma.github.io/Logging_2421/tillsyn/A 3358-2022 tillsynsbegäran.docx", "A 3358-2022")</f>
        <v/>
      </c>
      <c r="Y376">
        <f>HYPERLINK("https://klasma.github.io/Logging_2421/tillsynsmail/A 3358-2022 tillsynsbegäran mail.docx", "A 3358-2022")</f>
        <v/>
      </c>
      <c r="Z376">
        <f>HYPERLINK("https://klasma.github.io/Logging_2421/fåglar/A 3358-2022 prioriterade fågelarter.docx", "A 3358-2022")</f>
        <v/>
      </c>
    </row>
    <row r="377" ht="15" customHeight="1">
      <c r="A377" t="inlineStr">
        <is>
          <t>A 14493-2022</t>
        </is>
      </c>
      <c r="B377" s="1" t="n">
        <v>44655</v>
      </c>
      <c r="C377" s="1" t="n">
        <v>45788</v>
      </c>
      <c r="D377" t="inlineStr">
        <is>
          <t>VÄSTERBOTTENS LÄN</t>
        </is>
      </c>
      <c r="E377" t="inlineStr">
        <is>
          <t>SKELLEFTEÅ</t>
        </is>
      </c>
      <c r="G377" t="n">
        <v>9.5</v>
      </c>
      <c r="H377" t="n">
        <v>2</v>
      </c>
      <c r="I377" t="n">
        <v>1</v>
      </c>
      <c r="J377" t="n">
        <v>5</v>
      </c>
      <c r="K377" t="n">
        <v>1</v>
      </c>
      <c r="L377" t="n">
        <v>0</v>
      </c>
      <c r="M377" t="n">
        <v>0</v>
      </c>
      <c r="N377" t="n">
        <v>0</v>
      </c>
      <c r="O377" t="n">
        <v>6</v>
      </c>
      <c r="P377" t="n">
        <v>1</v>
      </c>
      <c r="Q377" t="n">
        <v>7</v>
      </c>
      <c r="R377" s="2" t="inlineStr">
        <is>
          <t>Knärot
Gammelgransskål
Garnlav
Harticka
Tretåig hackspett
Ullticka
Vedticka</t>
        </is>
      </c>
      <c r="S377">
        <f>HYPERLINK("https://klasma.github.io/Logging_2482/artfynd/A 14493-2022 artfynd.xlsx", "A 14493-2022")</f>
        <v/>
      </c>
      <c r="T377">
        <f>HYPERLINK("https://klasma.github.io/Logging_2482/kartor/A 14493-2022 karta.png", "A 14493-2022")</f>
        <v/>
      </c>
      <c r="U377">
        <f>HYPERLINK("https://klasma.github.io/Logging_2482/knärot/A 14493-2022 karta knärot.png", "A 14493-2022")</f>
        <v/>
      </c>
      <c r="V377">
        <f>HYPERLINK("https://klasma.github.io/Logging_2482/klagomål/A 14493-2022 FSC-klagomål.docx", "A 14493-2022")</f>
        <v/>
      </c>
      <c r="W377">
        <f>HYPERLINK("https://klasma.github.io/Logging_2482/klagomålsmail/A 14493-2022 FSC-klagomål mail.docx", "A 14493-2022")</f>
        <v/>
      </c>
      <c r="X377">
        <f>HYPERLINK("https://klasma.github.io/Logging_2482/tillsyn/A 14493-2022 tillsynsbegäran.docx", "A 14493-2022")</f>
        <v/>
      </c>
      <c r="Y377">
        <f>HYPERLINK("https://klasma.github.io/Logging_2482/tillsynsmail/A 14493-2022 tillsynsbegäran mail.docx", "A 14493-2022")</f>
        <v/>
      </c>
      <c r="Z377">
        <f>HYPERLINK("https://klasma.github.io/Logging_2482/fåglar/A 14493-2022 prioriterade fågelarter.docx", "A 14493-2022")</f>
        <v/>
      </c>
    </row>
    <row r="378" ht="15" customHeight="1">
      <c r="A378" t="inlineStr">
        <is>
          <t>A 15852-2022</t>
        </is>
      </c>
      <c r="B378" s="1" t="n">
        <v>44664</v>
      </c>
      <c r="C378" s="1" t="n">
        <v>45788</v>
      </c>
      <c r="D378" t="inlineStr">
        <is>
          <t>VÄSTERBOTTENS LÄN</t>
        </is>
      </c>
      <c r="E378" t="inlineStr">
        <is>
          <t>VILHELMINA</t>
        </is>
      </c>
      <c r="G378" t="n">
        <v>9.300000000000001</v>
      </c>
      <c r="H378" t="n">
        <v>1</v>
      </c>
      <c r="I378" t="n">
        <v>2</v>
      </c>
      <c r="J378" t="n">
        <v>5</v>
      </c>
      <c r="K378" t="n">
        <v>0</v>
      </c>
      <c r="L378" t="n">
        <v>0</v>
      </c>
      <c r="M378" t="n">
        <v>0</v>
      </c>
      <c r="N378" t="n">
        <v>0</v>
      </c>
      <c r="O378" t="n">
        <v>5</v>
      </c>
      <c r="P378" t="n">
        <v>0</v>
      </c>
      <c r="Q378" t="n">
        <v>7</v>
      </c>
      <c r="R378" s="2" t="inlineStr">
        <is>
          <t>Granticka
Harticka
Lunglav
Skrovellav
Ullticka
Spindelblomster
Stuplav</t>
        </is>
      </c>
      <c r="S378">
        <f>HYPERLINK("https://klasma.github.io/Logging_2462/artfynd/A 15852-2022 artfynd.xlsx", "A 15852-2022")</f>
        <v/>
      </c>
      <c r="T378">
        <f>HYPERLINK("https://klasma.github.io/Logging_2462/kartor/A 15852-2022 karta.png", "A 15852-2022")</f>
        <v/>
      </c>
      <c r="V378">
        <f>HYPERLINK("https://klasma.github.io/Logging_2462/klagomål/A 15852-2022 FSC-klagomål.docx", "A 15852-2022")</f>
        <v/>
      </c>
      <c r="W378">
        <f>HYPERLINK("https://klasma.github.io/Logging_2462/klagomålsmail/A 15852-2022 FSC-klagomål mail.docx", "A 15852-2022")</f>
        <v/>
      </c>
      <c r="X378">
        <f>HYPERLINK("https://klasma.github.io/Logging_2462/tillsyn/A 15852-2022 tillsynsbegäran.docx", "A 15852-2022")</f>
        <v/>
      </c>
      <c r="Y378">
        <f>HYPERLINK("https://klasma.github.io/Logging_2462/tillsynsmail/A 15852-2022 tillsynsbegäran mail.docx", "A 15852-2022")</f>
        <v/>
      </c>
    </row>
    <row r="379" ht="15" customHeight="1">
      <c r="A379" t="inlineStr">
        <is>
          <t>A 40101-2022</t>
        </is>
      </c>
      <c r="B379" s="1" t="n">
        <v>44820</v>
      </c>
      <c r="C379" s="1" t="n">
        <v>45788</v>
      </c>
      <c r="D379" t="inlineStr">
        <is>
          <t>VÄSTERBOTTENS LÄN</t>
        </is>
      </c>
      <c r="E379" t="inlineStr">
        <is>
          <t>LYCKSELE</t>
        </is>
      </c>
      <c r="F379" t="inlineStr">
        <is>
          <t>Sveaskog</t>
        </is>
      </c>
      <c r="G379" t="n">
        <v>28.5</v>
      </c>
      <c r="H379" t="n">
        <v>0</v>
      </c>
      <c r="I379" t="n">
        <v>1</v>
      </c>
      <c r="J379" t="n">
        <v>5</v>
      </c>
      <c r="K379" t="n">
        <v>1</v>
      </c>
      <c r="L379" t="n">
        <v>0</v>
      </c>
      <c r="M379" t="n">
        <v>0</v>
      </c>
      <c r="N379" t="n">
        <v>0</v>
      </c>
      <c r="O379" t="n">
        <v>6</v>
      </c>
      <c r="P379" t="n">
        <v>1</v>
      </c>
      <c r="Q379" t="n">
        <v>7</v>
      </c>
      <c r="R379" s="2" t="inlineStr">
        <is>
          <t>Gräddporing
Garnlav
Kolflarnlav
Motaggsvamp
Orange taggsvamp
Skrovellav
Skarp dropptaggsvamp</t>
        </is>
      </c>
      <c r="S379">
        <f>HYPERLINK("https://klasma.github.io/Logging_2481/artfynd/A 40101-2022 artfynd.xlsx", "A 40101-2022")</f>
        <v/>
      </c>
      <c r="T379">
        <f>HYPERLINK("https://klasma.github.io/Logging_2481/kartor/A 40101-2022 karta.png", "A 40101-2022")</f>
        <v/>
      </c>
      <c r="V379">
        <f>HYPERLINK("https://klasma.github.io/Logging_2481/klagomål/A 40101-2022 FSC-klagomål.docx", "A 40101-2022")</f>
        <v/>
      </c>
      <c r="W379">
        <f>HYPERLINK("https://klasma.github.io/Logging_2481/klagomålsmail/A 40101-2022 FSC-klagomål mail.docx", "A 40101-2022")</f>
        <v/>
      </c>
      <c r="X379">
        <f>HYPERLINK("https://klasma.github.io/Logging_2481/tillsyn/A 40101-2022 tillsynsbegäran.docx", "A 40101-2022")</f>
        <v/>
      </c>
      <c r="Y379">
        <f>HYPERLINK("https://klasma.github.io/Logging_2481/tillsynsmail/A 40101-2022 tillsynsbegäran mail.docx", "A 40101-2022")</f>
        <v/>
      </c>
    </row>
    <row r="380" ht="15" customHeight="1">
      <c r="A380" t="inlineStr">
        <is>
          <t>A 20608-2023</t>
        </is>
      </c>
      <c r="B380" s="1" t="n">
        <v>45057</v>
      </c>
      <c r="C380" s="1" t="n">
        <v>45788</v>
      </c>
      <c r="D380" t="inlineStr">
        <is>
          <t>VÄSTERBOTTENS LÄN</t>
        </is>
      </c>
      <c r="E380" t="inlineStr">
        <is>
          <t>BJURHOLM</t>
        </is>
      </c>
      <c r="F380" t="inlineStr">
        <is>
          <t>SCA</t>
        </is>
      </c>
      <c r="G380" t="n">
        <v>10.5</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HYPERLINK("https://klasma.github.io/Logging_2403/artfynd/A 20608-2023 artfynd.xlsx", "A 20608-2023")</f>
        <v/>
      </c>
      <c r="T380">
        <f>HYPERLINK("https://klasma.github.io/Logging_2403/kartor/A 20608-2023 karta.png", "A 20608-2023")</f>
        <v/>
      </c>
      <c r="V380">
        <f>HYPERLINK("https://klasma.github.io/Logging_2403/klagomål/A 20608-2023 FSC-klagomål.docx", "A 20608-2023")</f>
        <v/>
      </c>
      <c r="W380">
        <f>HYPERLINK("https://klasma.github.io/Logging_2403/klagomålsmail/A 20608-2023 FSC-klagomål mail.docx", "A 20608-2023")</f>
        <v/>
      </c>
      <c r="X380">
        <f>HYPERLINK("https://klasma.github.io/Logging_2403/tillsyn/A 20608-2023 tillsynsbegäran.docx", "A 20608-2023")</f>
        <v/>
      </c>
      <c r="Y380">
        <f>HYPERLINK("https://klasma.github.io/Logging_2403/tillsynsmail/A 20608-2023 tillsynsbegäran mail.docx", "A 20608-2023")</f>
        <v/>
      </c>
    </row>
    <row r="381" ht="15" customHeight="1">
      <c r="A381" t="inlineStr">
        <is>
          <t>A 22203-2023</t>
        </is>
      </c>
      <c r="B381" s="1" t="n">
        <v>45069</v>
      </c>
      <c r="C381" s="1" t="n">
        <v>45788</v>
      </c>
      <c r="D381" t="inlineStr">
        <is>
          <t>VÄSTERBOTTENS LÄN</t>
        </is>
      </c>
      <c r="E381" t="inlineStr">
        <is>
          <t>UMEÅ</t>
        </is>
      </c>
      <c r="G381" t="n">
        <v>6.2</v>
      </c>
      <c r="H381" t="n">
        <v>1</v>
      </c>
      <c r="I381" t="n">
        <v>1</v>
      </c>
      <c r="J381" t="n">
        <v>5</v>
      </c>
      <c r="K381" t="n">
        <v>1</v>
      </c>
      <c r="L381" t="n">
        <v>0</v>
      </c>
      <c r="M381" t="n">
        <v>0</v>
      </c>
      <c r="N381" t="n">
        <v>0</v>
      </c>
      <c r="O381" t="n">
        <v>6</v>
      </c>
      <c r="P381" t="n">
        <v>1</v>
      </c>
      <c r="Q381" t="n">
        <v>7</v>
      </c>
      <c r="R381" s="2" t="inlineStr">
        <is>
          <t>Knärot
Garnlav
Granticka
Rosenticka
Ullticka
Violettgrå tagellav
Skinnlav</t>
        </is>
      </c>
      <c r="S381">
        <f>HYPERLINK("https://klasma.github.io/Logging_2480/artfynd/A 22203-2023 artfynd.xlsx", "A 22203-2023")</f>
        <v/>
      </c>
      <c r="T381">
        <f>HYPERLINK("https://klasma.github.io/Logging_2480/kartor/A 22203-2023 karta.png", "A 22203-2023")</f>
        <v/>
      </c>
      <c r="U381">
        <f>HYPERLINK("https://klasma.github.io/Logging_2480/knärot/A 22203-2023 karta knärot.png", "A 22203-2023")</f>
        <v/>
      </c>
      <c r="V381">
        <f>HYPERLINK("https://klasma.github.io/Logging_2480/klagomål/A 22203-2023 FSC-klagomål.docx", "A 22203-2023")</f>
        <v/>
      </c>
      <c r="W381">
        <f>HYPERLINK("https://klasma.github.io/Logging_2480/klagomålsmail/A 22203-2023 FSC-klagomål mail.docx", "A 22203-2023")</f>
        <v/>
      </c>
      <c r="X381">
        <f>HYPERLINK("https://klasma.github.io/Logging_2480/tillsyn/A 22203-2023 tillsynsbegäran.docx", "A 22203-2023")</f>
        <v/>
      </c>
      <c r="Y381">
        <f>HYPERLINK("https://klasma.github.io/Logging_2480/tillsynsmail/A 22203-2023 tillsynsbegäran mail.docx", "A 22203-2023")</f>
        <v/>
      </c>
    </row>
    <row r="382" ht="15" customHeight="1">
      <c r="A382" t="inlineStr">
        <is>
          <t>A 24829-2023</t>
        </is>
      </c>
      <c r="B382" s="1" t="n">
        <v>45084</v>
      </c>
      <c r="C382" s="1" t="n">
        <v>45788</v>
      </c>
      <c r="D382" t="inlineStr">
        <is>
          <t>VÄSTERBOTTENS LÄN</t>
        </is>
      </c>
      <c r="E382" t="inlineStr">
        <is>
          <t>VILHELMINA</t>
        </is>
      </c>
      <c r="F382" t="inlineStr">
        <is>
          <t>SCA</t>
        </is>
      </c>
      <c r="G382" t="n">
        <v>15.1</v>
      </c>
      <c r="H382" t="n">
        <v>2</v>
      </c>
      <c r="I382" t="n">
        <v>1</v>
      </c>
      <c r="J382" t="n">
        <v>6</v>
      </c>
      <c r="K382" t="n">
        <v>0</v>
      </c>
      <c r="L382" t="n">
        <v>0</v>
      </c>
      <c r="M382" t="n">
        <v>0</v>
      </c>
      <c r="N382" t="n">
        <v>0</v>
      </c>
      <c r="O382" t="n">
        <v>6</v>
      </c>
      <c r="P382" t="n">
        <v>0</v>
      </c>
      <c r="Q382" t="n">
        <v>7</v>
      </c>
      <c r="R382" s="2" t="inlineStr">
        <is>
          <t>Garnlav
Granticka
Harticka
Lunglav
Spillkråka
Tretåig hackspett
Luddlav</t>
        </is>
      </c>
      <c r="S382">
        <f>HYPERLINK("https://klasma.github.io/Logging_2462/artfynd/A 24829-2023 artfynd.xlsx", "A 24829-2023")</f>
        <v/>
      </c>
      <c r="T382">
        <f>HYPERLINK("https://klasma.github.io/Logging_2462/kartor/A 24829-2023 karta.png", "A 24829-2023")</f>
        <v/>
      </c>
      <c r="V382">
        <f>HYPERLINK("https://klasma.github.io/Logging_2462/klagomål/A 24829-2023 FSC-klagomål.docx", "A 24829-2023")</f>
        <v/>
      </c>
      <c r="W382">
        <f>HYPERLINK("https://klasma.github.io/Logging_2462/klagomålsmail/A 24829-2023 FSC-klagomål mail.docx", "A 24829-2023")</f>
        <v/>
      </c>
      <c r="X382">
        <f>HYPERLINK("https://klasma.github.io/Logging_2462/tillsyn/A 24829-2023 tillsynsbegäran.docx", "A 24829-2023")</f>
        <v/>
      </c>
      <c r="Y382">
        <f>HYPERLINK("https://klasma.github.io/Logging_2462/tillsynsmail/A 24829-2023 tillsynsbegäran mail.docx", "A 24829-2023")</f>
        <v/>
      </c>
      <c r="Z382">
        <f>HYPERLINK("https://klasma.github.io/Logging_2462/fåglar/A 24829-2023 prioriterade fågelarter.docx", "A 24829-2023")</f>
        <v/>
      </c>
    </row>
    <row r="383" ht="15" customHeight="1">
      <c r="A383" t="inlineStr">
        <is>
          <t>A 30187-2023</t>
        </is>
      </c>
      <c r="B383" s="1" t="n">
        <v>45110</v>
      </c>
      <c r="C383" s="1" t="n">
        <v>45788</v>
      </c>
      <c r="D383" t="inlineStr">
        <is>
          <t>VÄSTERBOTTENS LÄN</t>
        </is>
      </c>
      <c r="E383" t="inlineStr">
        <is>
          <t>UMEÅ</t>
        </is>
      </c>
      <c r="G383" t="n">
        <v>12.5</v>
      </c>
      <c r="H383" t="n">
        <v>2</v>
      </c>
      <c r="I383" t="n">
        <v>3</v>
      </c>
      <c r="J383" t="n">
        <v>4</v>
      </c>
      <c r="K383" t="n">
        <v>0</v>
      </c>
      <c r="L383" t="n">
        <v>0</v>
      </c>
      <c r="M383" t="n">
        <v>0</v>
      </c>
      <c r="N383" t="n">
        <v>0</v>
      </c>
      <c r="O383" t="n">
        <v>4</v>
      </c>
      <c r="P383" t="n">
        <v>0</v>
      </c>
      <c r="Q383" t="n">
        <v>7</v>
      </c>
      <c r="R383" s="2" t="inlineStr">
        <is>
          <t>Garnlav
Spillkråka
Tretåig hackspett
Ullticka
Bronshjon
Stuplav
Vedticka</t>
        </is>
      </c>
      <c r="S383">
        <f>HYPERLINK("https://klasma.github.io/Logging_2480/artfynd/A 30187-2023 artfynd.xlsx", "A 30187-2023")</f>
        <v/>
      </c>
      <c r="T383">
        <f>HYPERLINK("https://klasma.github.io/Logging_2480/kartor/A 30187-2023 karta.png", "A 30187-2023")</f>
        <v/>
      </c>
      <c r="V383">
        <f>HYPERLINK("https://klasma.github.io/Logging_2480/klagomål/A 30187-2023 FSC-klagomål.docx", "A 30187-2023")</f>
        <v/>
      </c>
      <c r="W383">
        <f>HYPERLINK("https://klasma.github.io/Logging_2480/klagomålsmail/A 30187-2023 FSC-klagomål mail.docx", "A 30187-2023")</f>
        <v/>
      </c>
      <c r="X383">
        <f>HYPERLINK("https://klasma.github.io/Logging_2480/tillsyn/A 30187-2023 tillsynsbegäran.docx", "A 30187-2023")</f>
        <v/>
      </c>
      <c r="Y383">
        <f>HYPERLINK("https://klasma.github.io/Logging_2480/tillsynsmail/A 30187-2023 tillsynsbegäran mail.docx", "A 30187-2023")</f>
        <v/>
      </c>
      <c r="Z383">
        <f>HYPERLINK("https://klasma.github.io/Logging_2480/fåglar/A 30187-2023 prioriterade fågelarter.docx", "A 30187-2023")</f>
        <v/>
      </c>
    </row>
    <row r="384" ht="15" customHeight="1">
      <c r="A384" t="inlineStr">
        <is>
          <t>A 30947-2023</t>
        </is>
      </c>
      <c r="B384" s="1" t="n">
        <v>45113</v>
      </c>
      <c r="C384" s="1" t="n">
        <v>45788</v>
      </c>
      <c r="D384" t="inlineStr">
        <is>
          <t>VÄSTERBOTTENS LÄN</t>
        </is>
      </c>
      <c r="E384" t="inlineStr">
        <is>
          <t>ÅSELE</t>
        </is>
      </c>
      <c r="F384" t="inlineStr">
        <is>
          <t>Sveaskog</t>
        </is>
      </c>
      <c r="G384" t="n">
        <v>11.9</v>
      </c>
      <c r="H384" t="n">
        <v>5</v>
      </c>
      <c r="I384" t="n">
        <v>1</v>
      </c>
      <c r="J384" t="n">
        <v>4</v>
      </c>
      <c r="K384" t="n">
        <v>0</v>
      </c>
      <c r="L384" t="n">
        <v>0</v>
      </c>
      <c r="M384" t="n">
        <v>0</v>
      </c>
      <c r="N384" t="n">
        <v>0</v>
      </c>
      <c r="O384" t="n">
        <v>4</v>
      </c>
      <c r="P384" t="n">
        <v>0</v>
      </c>
      <c r="Q384" t="n">
        <v>7</v>
      </c>
      <c r="R384" s="2" t="inlineStr">
        <is>
          <t>Garnlav
Granticka
Talltita
Tretåig hackspett
Spindelblomster
Lavskrika
Tjäder</t>
        </is>
      </c>
      <c r="S384">
        <f>HYPERLINK("https://klasma.github.io/Logging_2463/artfynd/A 30947-2023 artfynd.xlsx", "A 30947-2023")</f>
        <v/>
      </c>
      <c r="T384">
        <f>HYPERLINK("https://klasma.github.io/Logging_2463/kartor/A 30947-2023 karta.png", "A 30947-2023")</f>
        <v/>
      </c>
      <c r="V384">
        <f>HYPERLINK("https://klasma.github.io/Logging_2463/klagomål/A 30947-2023 FSC-klagomål.docx", "A 30947-2023")</f>
        <v/>
      </c>
      <c r="W384">
        <f>HYPERLINK("https://klasma.github.io/Logging_2463/klagomålsmail/A 30947-2023 FSC-klagomål mail.docx", "A 30947-2023")</f>
        <v/>
      </c>
      <c r="X384">
        <f>HYPERLINK("https://klasma.github.io/Logging_2463/tillsyn/A 30947-2023 tillsynsbegäran.docx", "A 30947-2023")</f>
        <v/>
      </c>
      <c r="Y384">
        <f>HYPERLINK("https://klasma.github.io/Logging_2463/tillsynsmail/A 30947-2023 tillsynsbegäran mail.docx", "A 30947-2023")</f>
        <v/>
      </c>
      <c r="Z384">
        <f>HYPERLINK("https://klasma.github.io/Logging_2463/fåglar/A 30947-2023 prioriterade fågelarter.docx", "A 30947-2023")</f>
        <v/>
      </c>
    </row>
    <row r="385" ht="15" customHeight="1">
      <c r="A385" t="inlineStr">
        <is>
          <t>A 33655-2023</t>
        </is>
      </c>
      <c r="B385" s="1" t="n">
        <v>45119</v>
      </c>
      <c r="C385" s="1" t="n">
        <v>45788</v>
      </c>
      <c r="D385" t="inlineStr">
        <is>
          <t>VÄSTERBOTTENS LÄN</t>
        </is>
      </c>
      <c r="E385" t="inlineStr">
        <is>
          <t>DOROTEA</t>
        </is>
      </c>
      <c r="F385" t="inlineStr">
        <is>
          <t>Allmännings- och besparingsskogar</t>
        </is>
      </c>
      <c r="G385" t="n">
        <v>21.4</v>
      </c>
      <c r="H385" t="n">
        <v>0</v>
      </c>
      <c r="I385" t="n">
        <v>2</v>
      </c>
      <c r="J385" t="n">
        <v>5</v>
      </c>
      <c r="K385" t="n">
        <v>0</v>
      </c>
      <c r="L385" t="n">
        <v>0</v>
      </c>
      <c r="M385" t="n">
        <v>0</v>
      </c>
      <c r="N385" t="n">
        <v>0</v>
      </c>
      <c r="O385" t="n">
        <v>5</v>
      </c>
      <c r="P385" t="n">
        <v>0</v>
      </c>
      <c r="Q385" t="n">
        <v>7</v>
      </c>
      <c r="R385" s="2" t="inlineStr">
        <is>
          <t>Garnlav
Granticka
Harticka
Rosenticka
Ullticka
Fjällig taggsvamp s.str.
Trådticka</t>
        </is>
      </c>
      <c r="S385">
        <f>HYPERLINK("https://klasma.github.io/Logging_2425/artfynd/A 33655-2023 artfynd.xlsx", "A 33655-2023")</f>
        <v/>
      </c>
      <c r="T385">
        <f>HYPERLINK("https://klasma.github.io/Logging_2425/kartor/A 33655-2023 karta.png", "A 33655-2023")</f>
        <v/>
      </c>
      <c r="V385">
        <f>HYPERLINK("https://klasma.github.io/Logging_2425/klagomål/A 33655-2023 FSC-klagomål.docx", "A 33655-2023")</f>
        <v/>
      </c>
      <c r="W385">
        <f>HYPERLINK("https://klasma.github.io/Logging_2425/klagomålsmail/A 33655-2023 FSC-klagomål mail.docx", "A 33655-2023")</f>
        <v/>
      </c>
      <c r="X385">
        <f>HYPERLINK("https://klasma.github.io/Logging_2425/tillsyn/A 33655-2023 tillsynsbegäran.docx", "A 33655-2023")</f>
        <v/>
      </c>
      <c r="Y385">
        <f>HYPERLINK("https://klasma.github.io/Logging_2425/tillsynsmail/A 33655-2023 tillsynsbegäran mail.docx", "A 33655-2023")</f>
        <v/>
      </c>
    </row>
    <row r="386" ht="15" customHeight="1">
      <c r="A386" t="inlineStr">
        <is>
          <t>A 32605-2023</t>
        </is>
      </c>
      <c r="B386" s="1" t="n">
        <v>45121</v>
      </c>
      <c r="C386" s="1" t="n">
        <v>45788</v>
      </c>
      <c r="D386" t="inlineStr">
        <is>
          <t>VÄSTERBOTTENS LÄN</t>
        </is>
      </c>
      <c r="E386" t="inlineStr">
        <is>
          <t>SKELLEFTEÅ</t>
        </is>
      </c>
      <c r="F386" t="inlineStr">
        <is>
          <t>Holmen skog AB</t>
        </is>
      </c>
      <c r="G386" t="n">
        <v>5.5</v>
      </c>
      <c r="H386" t="n">
        <v>2</v>
      </c>
      <c r="I386" t="n">
        <v>1</v>
      </c>
      <c r="J386" t="n">
        <v>5</v>
      </c>
      <c r="K386" t="n">
        <v>0</v>
      </c>
      <c r="L386" t="n">
        <v>0</v>
      </c>
      <c r="M386" t="n">
        <v>0</v>
      </c>
      <c r="N386" t="n">
        <v>0</v>
      </c>
      <c r="O386" t="n">
        <v>5</v>
      </c>
      <c r="P386" t="n">
        <v>0</v>
      </c>
      <c r="Q386" t="n">
        <v>7</v>
      </c>
      <c r="R386" s="2" t="inlineStr">
        <is>
          <t>Blanksvart spiklav
Gammelgransskål
Garnlav
Spillkråka
Tallticka
Skinnlav
Lavskrika</t>
        </is>
      </c>
      <c r="S386">
        <f>HYPERLINK("https://klasma.github.io/Logging_2482/artfynd/A 32605-2023 artfynd.xlsx", "A 32605-2023")</f>
        <v/>
      </c>
      <c r="T386">
        <f>HYPERLINK("https://klasma.github.io/Logging_2482/kartor/A 32605-2023 karta.png", "A 32605-2023")</f>
        <v/>
      </c>
      <c r="V386">
        <f>HYPERLINK("https://klasma.github.io/Logging_2482/klagomål/A 32605-2023 FSC-klagomål.docx", "A 32605-2023")</f>
        <v/>
      </c>
      <c r="W386">
        <f>HYPERLINK("https://klasma.github.io/Logging_2482/klagomålsmail/A 32605-2023 FSC-klagomål mail.docx", "A 32605-2023")</f>
        <v/>
      </c>
      <c r="X386">
        <f>HYPERLINK("https://klasma.github.io/Logging_2482/tillsyn/A 32605-2023 tillsynsbegäran.docx", "A 32605-2023")</f>
        <v/>
      </c>
      <c r="Y386">
        <f>HYPERLINK("https://klasma.github.io/Logging_2482/tillsynsmail/A 32605-2023 tillsynsbegäran mail.docx", "A 32605-2023")</f>
        <v/>
      </c>
      <c r="Z386">
        <f>HYPERLINK("https://klasma.github.io/Logging_2482/fåglar/A 32605-2023 prioriterade fågelarter.docx", "A 32605-2023")</f>
        <v/>
      </c>
    </row>
    <row r="387" ht="15" customHeight="1">
      <c r="A387" t="inlineStr">
        <is>
          <t>A 34091-2023</t>
        </is>
      </c>
      <c r="B387" s="1" t="n">
        <v>45125</v>
      </c>
      <c r="C387" s="1" t="n">
        <v>45788</v>
      </c>
      <c r="D387" t="inlineStr">
        <is>
          <t>VÄSTERBOTTENS LÄN</t>
        </is>
      </c>
      <c r="E387" t="inlineStr">
        <is>
          <t>VILHELMINA</t>
        </is>
      </c>
      <c r="G387" t="n">
        <v>18.4</v>
      </c>
      <c r="H387" t="n">
        <v>1</v>
      </c>
      <c r="I387" t="n">
        <v>1</v>
      </c>
      <c r="J387" t="n">
        <v>6</v>
      </c>
      <c r="K387" t="n">
        <v>0</v>
      </c>
      <c r="L387" t="n">
        <v>0</v>
      </c>
      <c r="M387" t="n">
        <v>0</v>
      </c>
      <c r="N387" t="n">
        <v>0</v>
      </c>
      <c r="O387" t="n">
        <v>6</v>
      </c>
      <c r="P387" t="n">
        <v>0</v>
      </c>
      <c r="Q387" t="n">
        <v>7</v>
      </c>
      <c r="R387" s="2" t="inlineStr">
        <is>
          <t>Doftskinn
Garnlav
Granticka
Gränsticka
Skrovellav
Tretåig hackspett
Trådticka</t>
        </is>
      </c>
      <c r="S387">
        <f>HYPERLINK("https://klasma.github.io/Logging_2462/artfynd/A 34091-2023 artfynd.xlsx", "A 34091-2023")</f>
        <v/>
      </c>
      <c r="T387">
        <f>HYPERLINK("https://klasma.github.io/Logging_2462/kartor/A 34091-2023 karta.png", "A 34091-2023")</f>
        <v/>
      </c>
      <c r="V387">
        <f>HYPERLINK("https://klasma.github.io/Logging_2462/klagomål/A 34091-2023 FSC-klagomål.docx", "A 34091-2023")</f>
        <v/>
      </c>
      <c r="W387">
        <f>HYPERLINK("https://klasma.github.io/Logging_2462/klagomålsmail/A 34091-2023 FSC-klagomål mail.docx", "A 34091-2023")</f>
        <v/>
      </c>
      <c r="X387">
        <f>HYPERLINK("https://klasma.github.io/Logging_2462/tillsyn/A 34091-2023 tillsynsbegäran.docx", "A 34091-2023")</f>
        <v/>
      </c>
      <c r="Y387">
        <f>HYPERLINK("https://klasma.github.io/Logging_2462/tillsynsmail/A 34091-2023 tillsynsbegäran mail.docx", "A 34091-2023")</f>
        <v/>
      </c>
      <c r="Z387">
        <f>HYPERLINK("https://klasma.github.io/Logging_2462/fåglar/A 34091-2023 prioriterade fågelarter.docx", "A 34091-2023")</f>
        <v/>
      </c>
    </row>
    <row r="388" ht="15" customHeight="1">
      <c r="A388" t="inlineStr">
        <is>
          <t>A 34418-2023</t>
        </is>
      </c>
      <c r="B388" s="1" t="n">
        <v>45132</v>
      </c>
      <c r="C388" s="1" t="n">
        <v>45788</v>
      </c>
      <c r="D388" t="inlineStr">
        <is>
          <t>VÄSTERBOTTENS LÄN</t>
        </is>
      </c>
      <c r="E388" t="inlineStr">
        <is>
          <t>VILHELMINA</t>
        </is>
      </c>
      <c r="F388" t="inlineStr">
        <is>
          <t>Allmännings- och besparingsskogar</t>
        </is>
      </c>
      <c r="G388" t="n">
        <v>18.3</v>
      </c>
      <c r="H388" t="n">
        <v>1</v>
      </c>
      <c r="I388" t="n">
        <v>0</v>
      </c>
      <c r="J388" t="n">
        <v>6</v>
      </c>
      <c r="K388" t="n">
        <v>1</v>
      </c>
      <c r="L388" t="n">
        <v>0</v>
      </c>
      <c r="M388" t="n">
        <v>0</v>
      </c>
      <c r="N388" t="n">
        <v>0</v>
      </c>
      <c r="O388" t="n">
        <v>7</v>
      </c>
      <c r="P388" t="n">
        <v>1</v>
      </c>
      <c r="Q388" t="n">
        <v>7</v>
      </c>
      <c r="R388" s="2" t="inlineStr">
        <is>
          <t>Ostticka
Gammelgransskål
Garnlav
Gränsticka
Knottrig blåslav
Rödbrun blekspik
Tretåig hackspett</t>
        </is>
      </c>
      <c r="S388">
        <f>HYPERLINK("https://klasma.github.io/Logging_2462/artfynd/A 34418-2023 artfynd.xlsx", "A 34418-2023")</f>
        <v/>
      </c>
      <c r="T388">
        <f>HYPERLINK("https://klasma.github.io/Logging_2462/kartor/A 34418-2023 karta.png", "A 34418-2023")</f>
        <v/>
      </c>
      <c r="V388">
        <f>HYPERLINK("https://klasma.github.io/Logging_2462/klagomål/A 34418-2023 FSC-klagomål.docx", "A 34418-2023")</f>
        <v/>
      </c>
      <c r="W388">
        <f>HYPERLINK("https://klasma.github.io/Logging_2462/klagomålsmail/A 34418-2023 FSC-klagomål mail.docx", "A 34418-2023")</f>
        <v/>
      </c>
      <c r="X388">
        <f>HYPERLINK("https://klasma.github.io/Logging_2462/tillsyn/A 34418-2023 tillsynsbegäran.docx", "A 34418-2023")</f>
        <v/>
      </c>
      <c r="Y388">
        <f>HYPERLINK("https://klasma.github.io/Logging_2462/tillsynsmail/A 34418-2023 tillsynsbegäran mail.docx", "A 34418-2023")</f>
        <v/>
      </c>
      <c r="Z388">
        <f>HYPERLINK("https://klasma.github.io/Logging_2462/fåglar/A 34418-2023 prioriterade fågelarter.docx", "A 34418-2023")</f>
        <v/>
      </c>
    </row>
    <row r="389" ht="15" customHeight="1">
      <c r="A389" t="inlineStr">
        <is>
          <t>A 35580-2023</t>
        </is>
      </c>
      <c r="B389" s="1" t="n">
        <v>45147</v>
      </c>
      <c r="C389" s="1" t="n">
        <v>45788</v>
      </c>
      <c r="D389" t="inlineStr">
        <is>
          <t>VÄSTERBOTTENS LÄN</t>
        </is>
      </c>
      <c r="E389" t="inlineStr">
        <is>
          <t>ROBERTSFORS</t>
        </is>
      </c>
      <c r="F389" t="inlineStr">
        <is>
          <t>Holmen skog AB</t>
        </is>
      </c>
      <c r="G389" t="n">
        <v>14.9</v>
      </c>
      <c r="H389" t="n">
        <v>2</v>
      </c>
      <c r="I389" t="n">
        <v>1</v>
      </c>
      <c r="J389" t="n">
        <v>6</v>
      </c>
      <c r="K389" t="n">
        <v>0</v>
      </c>
      <c r="L389" t="n">
        <v>0</v>
      </c>
      <c r="M389" t="n">
        <v>0</v>
      </c>
      <c r="N389" t="n">
        <v>0</v>
      </c>
      <c r="O389" t="n">
        <v>6</v>
      </c>
      <c r="P389" t="n">
        <v>0</v>
      </c>
      <c r="Q389" t="n">
        <v>7</v>
      </c>
      <c r="R389" s="2" t="inlineStr">
        <is>
          <t>Gammelgransskål
Garnlav
Granticka
Spillkråka
Tretåig hackspett
Ullticka
Stuplav</t>
        </is>
      </c>
      <c r="S389">
        <f>HYPERLINK("https://klasma.github.io/Logging_2409/artfynd/A 35580-2023 artfynd.xlsx", "A 35580-2023")</f>
        <v/>
      </c>
      <c r="T389">
        <f>HYPERLINK("https://klasma.github.io/Logging_2409/kartor/A 35580-2023 karta.png", "A 35580-2023")</f>
        <v/>
      </c>
      <c r="V389">
        <f>HYPERLINK("https://klasma.github.io/Logging_2409/klagomål/A 35580-2023 FSC-klagomål.docx", "A 35580-2023")</f>
        <v/>
      </c>
      <c r="W389">
        <f>HYPERLINK("https://klasma.github.io/Logging_2409/klagomålsmail/A 35580-2023 FSC-klagomål mail.docx", "A 35580-2023")</f>
        <v/>
      </c>
      <c r="X389">
        <f>HYPERLINK("https://klasma.github.io/Logging_2409/tillsyn/A 35580-2023 tillsynsbegäran.docx", "A 35580-2023")</f>
        <v/>
      </c>
      <c r="Y389">
        <f>HYPERLINK("https://klasma.github.io/Logging_2409/tillsynsmail/A 35580-2023 tillsynsbegäran mail.docx", "A 35580-2023")</f>
        <v/>
      </c>
      <c r="Z389">
        <f>HYPERLINK("https://klasma.github.io/Logging_2409/fåglar/A 35580-2023 prioriterade fågelarter.docx", "A 35580-2023")</f>
        <v/>
      </c>
    </row>
    <row r="390" ht="15" customHeight="1">
      <c r="A390" t="inlineStr">
        <is>
          <t>A 37547-2023</t>
        </is>
      </c>
      <c r="B390" s="1" t="n">
        <v>45158</v>
      </c>
      <c r="C390" s="1" t="n">
        <v>45788</v>
      </c>
      <c r="D390" t="inlineStr">
        <is>
          <t>VÄSTERBOTTENS LÄN</t>
        </is>
      </c>
      <c r="E390" t="inlineStr">
        <is>
          <t>NORDMALING</t>
        </is>
      </c>
      <c r="G390" t="n">
        <v>4.2</v>
      </c>
      <c r="H390" t="n">
        <v>0</v>
      </c>
      <c r="I390" t="n">
        <v>3</v>
      </c>
      <c r="J390" t="n">
        <v>4</v>
      </c>
      <c r="K390" t="n">
        <v>0</v>
      </c>
      <c r="L390" t="n">
        <v>0</v>
      </c>
      <c r="M390" t="n">
        <v>0</v>
      </c>
      <c r="N390" t="n">
        <v>0</v>
      </c>
      <c r="O390" t="n">
        <v>4</v>
      </c>
      <c r="P390" t="n">
        <v>0</v>
      </c>
      <c r="Q390" t="n">
        <v>7</v>
      </c>
      <c r="R390" s="2" t="inlineStr">
        <is>
          <t>Garnlav
Granticka
Orange taggsvamp
Svartvit taggsvamp
Dropptaggsvamp
Tjockfotad fingersvamp
Vågbandad barkbock</t>
        </is>
      </c>
      <c r="S390">
        <f>HYPERLINK("https://klasma.github.io/Logging_2401/artfynd/A 37547-2023 artfynd.xlsx", "A 37547-2023")</f>
        <v/>
      </c>
      <c r="T390">
        <f>HYPERLINK("https://klasma.github.io/Logging_2401/kartor/A 37547-2023 karta.png", "A 37547-2023")</f>
        <v/>
      </c>
      <c r="V390">
        <f>HYPERLINK("https://klasma.github.io/Logging_2401/klagomål/A 37547-2023 FSC-klagomål.docx", "A 37547-2023")</f>
        <v/>
      </c>
      <c r="W390">
        <f>HYPERLINK("https://klasma.github.io/Logging_2401/klagomålsmail/A 37547-2023 FSC-klagomål mail.docx", "A 37547-2023")</f>
        <v/>
      </c>
      <c r="X390">
        <f>HYPERLINK("https://klasma.github.io/Logging_2401/tillsyn/A 37547-2023 tillsynsbegäran.docx", "A 37547-2023")</f>
        <v/>
      </c>
      <c r="Y390">
        <f>HYPERLINK("https://klasma.github.io/Logging_2401/tillsynsmail/A 37547-2023 tillsynsbegäran mail.docx", "A 37547-2023")</f>
        <v/>
      </c>
    </row>
    <row r="391" ht="15" customHeight="1">
      <c r="A391" t="inlineStr">
        <is>
          <t>A 41748-2023</t>
        </is>
      </c>
      <c r="B391" s="1" t="n">
        <v>45176</v>
      </c>
      <c r="C391" s="1" t="n">
        <v>45788</v>
      </c>
      <c r="D391" t="inlineStr">
        <is>
          <t>VÄSTERBOTTENS LÄN</t>
        </is>
      </c>
      <c r="E391" t="inlineStr">
        <is>
          <t>BJURHOLM</t>
        </is>
      </c>
      <c r="F391" t="inlineStr">
        <is>
          <t>Kyrkan</t>
        </is>
      </c>
      <c r="G391" t="n">
        <v>2.7</v>
      </c>
      <c r="H391" t="n">
        <v>2</v>
      </c>
      <c r="I391" t="n">
        <v>1</v>
      </c>
      <c r="J391" t="n">
        <v>6</v>
      </c>
      <c r="K391" t="n">
        <v>0</v>
      </c>
      <c r="L391" t="n">
        <v>0</v>
      </c>
      <c r="M391" t="n">
        <v>0</v>
      </c>
      <c r="N391" t="n">
        <v>0</v>
      </c>
      <c r="O391" t="n">
        <v>6</v>
      </c>
      <c r="P391" t="n">
        <v>0</v>
      </c>
      <c r="Q391" t="n">
        <v>7</v>
      </c>
      <c r="R391" s="2" t="inlineStr">
        <is>
          <t>Orange taggsvamp
Spillkråka
Svart taggsvamp
Svartvit taggsvamp
Tallticka
Talltita
Dropptaggsvamp</t>
        </is>
      </c>
      <c r="S391">
        <f>HYPERLINK("https://klasma.github.io/Logging_2403/artfynd/A 41748-2023 artfynd.xlsx", "A 41748-2023")</f>
        <v/>
      </c>
      <c r="T391">
        <f>HYPERLINK("https://klasma.github.io/Logging_2403/kartor/A 41748-2023 karta.png", "A 41748-2023")</f>
        <v/>
      </c>
      <c r="V391">
        <f>HYPERLINK("https://klasma.github.io/Logging_2403/klagomål/A 41748-2023 FSC-klagomål.docx", "A 41748-2023")</f>
        <v/>
      </c>
      <c r="W391">
        <f>HYPERLINK("https://klasma.github.io/Logging_2403/klagomålsmail/A 41748-2023 FSC-klagomål mail.docx", "A 41748-2023")</f>
        <v/>
      </c>
      <c r="X391">
        <f>HYPERLINK("https://klasma.github.io/Logging_2403/tillsyn/A 41748-2023 tillsynsbegäran.docx", "A 41748-2023")</f>
        <v/>
      </c>
      <c r="Y391">
        <f>HYPERLINK("https://klasma.github.io/Logging_2403/tillsynsmail/A 41748-2023 tillsynsbegäran mail.docx", "A 41748-2023")</f>
        <v/>
      </c>
      <c r="Z391">
        <f>HYPERLINK("https://klasma.github.io/Logging_2403/fåglar/A 41748-2023 prioriterade fågelarter.docx", "A 41748-2023")</f>
        <v/>
      </c>
    </row>
    <row r="392" ht="15" customHeight="1">
      <c r="A392" t="inlineStr">
        <is>
          <t>A 48075-2023</t>
        </is>
      </c>
      <c r="B392" s="1" t="n">
        <v>45204</v>
      </c>
      <c r="C392" s="1" t="n">
        <v>45788</v>
      </c>
      <c r="D392" t="inlineStr">
        <is>
          <t>VÄSTERBOTTENS LÄN</t>
        </is>
      </c>
      <c r="E392" t="inlineStr">
        <is>
          <t>VINDELN</t>
        </is>
      </c>
      <c r="F392" t="inlineStr">
        <is>
          <t>SCA</t>
        </is>
      </c>
      <c r="G392" t="n">
        <v>7.6</v>
      </c>
      <c r="H392" t="n">
        <v>0</v>
      </c>
      <c r="I392" t="n">
        <v>0</v>
      </c>
      <c r="J392" t="n">
        <v>6</v>
      </c>
      <c r="K392" t="n">
        <v>1</v>
      </c>
      <c r="L392" t="n">
        <v>0</v>
      </c>
      <c r="M392" t="n">
        <v>0</v>
      </c>
      <c r="N392" t="n">
        <v>0</v>
      </c>
      <c r="O392" t="n">
        <v>7</v>
      </c>
      <c r="P392" t="n">
        <v>1</v>
      </c>
      <c r="Q392" t="n">
        <v>7</v>
      </c>
      <c r="R392" s="2" t="inlineStr">
        <is>
          <t>Goliatmusseron
Blå taggsvamp
Mörk kolflarnlav
Orange taggsvamp
Skrovlig taggsvamp
Svart taggsvamp
Vaddporing</t>
        </is>
      </c>
      <c r="S392">
        <f>HYPERLINK("https://klasma.github.io/Logging_2404/artfynd/A 48075-2023 artfynd.xlsx", "A 48075-2023")</f>
        <v/>
      </c>
      <c r="T392">
        <f>HYPERLINK("https://klasma.github.io/Logging_2404/kartor/A 48075-2023 karta.png", "A 48075-2023")</f>
        <v/>
      </c>
      <c r="V392">
        <f>HYPERLINK("https://klasma.github.io/Logging_2404/klagomål/A 48075-2023 FSC-klagomål.docx", "A 48075-2023")</f>
        <v/>
      </c>
      <c r="W392">
        <f>HYPERLINK("https://klasma.github.io/Logging_2404/klagomålsmail/A 48075-2023 FSC-klagomål mail.docx", "A 48075-2023")</f>
        <v/>
      </c>
      <c r="X392">
        <f>HYPERLINK("https://klasma.github.io/Logging_2404/tillsyn/A 48075-2023 tillsynsbegäran.docx", "A 48075-2023")</f>
        <v/>
      </c>
      <c r="Y392">
        <f>HYPERLINK("https://klasma.github.io/Logging_2404/tillsynsmail/A 48075-2023 tillsynsbegäran mail.docx", "A 48075-2023")</f>
        <v/>
      </c>
    </row>
    <row r="393" ht="15" customHeight="1">
      <c r="A393" t="inlineStr">
        <is>
          <t>A 49977-2023</t>
        </is>
      </c>
      <c r="B393" s="1" t="n">
        <v>45208</v>
      </c>
      <c r="C393" s="1" t="n">
        <v>45788</v>
      </c>
      <c r="D393" t="inlineStr">
        <is>
          <t>VÄSTERBOTTENS LÄN</t>
        </is>
      </c>
      <c r="E393" t="inlineStr">
        <is>
          <t>VILHELMINA</t>
        </is>
      </c>
      <c r="F393" t="inlineStr">
        <is>
          <t>Övriga statliga verk och myndigheter</t>
        </is>
      </c>
      <c r="G393" t="n">
        <v>8.1</v>
      </c>
      <c r="H393" t="n">
        <v>2</v>
      </c>
      <c r="I393" t="n">
        <v>2</v>
      </c>
      <c r="J393" t="n">
        <v>5</v>
      </c>
      <c r="K393" t="n">
        <v>0</v>
      </c>
      <c r="L393" t="n">
        <v>0</v>
      </c>
      <c r="M393" t="n">
        <v>0</v>
      </c>
      <c r="N393" t="n">
        <v>0</v>
      </c>
      <c r="O393" t="n">
        <v>5</v>
      </c>
      <c r="P393" t="n">
        <v>0</v>
      </c>
      <c r="Q393" t="n">
        <v>7</v>
      </c>
      <c r="R393" s="2" t="inlineStr">
        <is>
          <t>Leptoporus mollis
Skrovellav
Spillkråka
Tretåig hackspett
Vitgrynig nållav
Bårdlav
Fjällig taggsvamp s.str.</t>
        </is>
      </c>
      <c r="S393">
        <f>HYPERLINK("https://klasma.github.io/Logging_2462/artfynd/A 49977-2023 artfynd.xlsx", "A 49977-2023")</f>
        <v/>
      </c>
      <c r="T393">
        <f>HYPERLINK("https://klasma.github.io/Logging_2462/kartor/A 49977-2023 karta.png", "A 49977-2023")</f>
        <v/>
      </c>
      <c r="V393">
        <f>HYPERLINK("https://klasma.github.io/Logging_2462/klagomål/A 49977-2023 FSC-klagomål.docx", "A 49977-2023")</f>
        <v/>
      </c>
      <c r="W393">
        <f>HYPERLINK("https://klasma.github.io/Logging_2462/klagomålsmail/A 49977-2023 FSC-klagomål mail.docx", "A 49977-2023")</f>
        <v/>
      </c>
      <c r="X393">
        <f>HYPERLINK("https://klasma.github.io/Logging_2462/tillsyn/A 49977-2023 tillsynsbegäran.docx", "A 49977-2023")</f>
        <v/>
      </c>
      <c r="Y393">
        <f>HYPERLINK("https://klasma.github.io/Logging_2462/tillsynsmail/A 49977-2023 tillsynsbegäran mail.docx", "A 49977-2023")</f>
        <v/>
      </c>
      <c r="Z393">
        <f>HYPERLINK("https://klasma.github.io/Logging_2462/fåglar/A 49977-2023 prioriterade fågelarter.docx", "A 49977-2023")</f>
        <v/>
      </c>
    </row>
    <row r="394" ht="15" customHeight="1">
      <c r="A394" t="inlineStr">
        <is>
          <t>A 54391-2023</t>
        </is>
      </c>
      <c r="B394" s="1" t="n">
        <v>45226</v>
      </c>
      <c r="C394" s="1" t="n">
        <v>45788</v>
      </c>
      <c r="D394" t="inlineStr">
        <is>
          <t>VÄSTERBOTTENS LÄN</t>
        </is>
      </c>
      <c r="E394" t="inlineStr">
        <is>
          <t>SKELLEFTEÅ</t>
        </is>
      </c>
      <c r="G394" t="n">
        <v>17.9</v>
      </c>
      <c r="H394" t="n">
        <v>3</v>
      </c>
      <c r="I394" t="n">
        <v>1</v>
      </c>
      <c r="J394" t="n">
        <v>4</v>
      </c>
      <c r="K394" t="n">
        <v>0</v>
      </c>
      <c r="L394" t="n">
        <v>0</v>
      </c>
      <c r="M394" t="n">
        <v>0</v>
      </c>
      <c r="N394" t="n">
        <v>0</v>
      </c>
      <c r="O394" t="n">
        <v>4</v>
      </c>
      <c r="P394" t="n">
        <v>0</v>
      </c>
      <c r="Q394" t="n">
        <v>7</v>
      </c>
      <c r="R394" s="2" t="inlineStr">
        <is>
          <t>Garnlav
Harticka
Spillkråka
Tallticka
Skinnlav
Fläcknycklar
Revlummer</t>
        </is>
      </c>
      <c r="S394">
        <f>HYPERLINK("https://klasma.github.io/Logging_2482/artfynd/A 54391-2023 artfynd.xlsx", "A 54391-2023")</f>
        <v/>
      </c>
      <c r="T394">
        <f>HYPERLINK("https://klasma.github.io/Logging_2482/kartor/A 54391-2023 karta.png", "A 54391-2023")</f>
        <v/>
      </c>
      <c r="V394">
        <f>HYPERLINK("https://klasma.github.io/Logging_2482/klagomål/A 54391-2023 FSC-klagomål.docx", "A 54391-2023")</f>
        <v/>
      </c>
      <c r="W394">
        <f>HYPERLINK("https://klasma.github.io/Logging_2482/klagomålsmail/A 54391-2023 FSC-klagomål mail.docx", "A 54391-2023")</f>
        <v/>
      </c>
      <c r="X394">
        <f>HYPERLINK("https://klasma.github.io/Logging_2482/tillsyn/A 54391-2023 tillsynsbegäran.docx", "A 54391-2023")</f>
        <v/>
      </c>
      <c r="Y394">
        <f>HYPERLINK("https://klasma.github.io/Logging_2482/tillsynsmail/A 54391-2023 tillsynsbegäran mail.docx", "A 54391-2023")</f>
        <v/>
      </c>
      <c r="Z394">
        <f>HYPERLINK("https://klasma.github.io/Logging_2482/fåglar/A 54391-2023 prioriterade fågelarter.docx", "A 54391-2023")</f>
        <v/>
      </c>
    </row>
    <row r="395" ht="15" customHeight="1">
      <c r="A395" t="inlineStr">
        <is>
          <t>A 13467-2024</t>
        </is>
      </c>
      <c r="B395" s="1" t="n">
        <v>45387</v>
      </c>
      <c r="C395" s="1" t="n">
        <v>45788</v>
      </c>
      <c r="D395" t="inlineStr">
        <is>
          <t>VÄSTERBOTTENS LÄN</t>
        </is>
      </c>
      <c r="E395" t="inlineStr">
        <is>
          <t>SKELLEFTEÅ</t>
        </is>
      </c>
      <c r="F395" t="inlineStr">
        <is>
          <t>Sveaskog</t>
        </is>
      </c>
      <c r="G395" t="n">
        <v>3.1</v>
      </c>
      <c r="H395" t="n">
        <v>3</v>
      </c>
      <c r="I395" t="n">
        <v>0</v>
      </c>
      <c r="J395" t="n">
        <v>5</v>
      </c>
      <c r="K395" t="n">
        <v>1</v>
      </c>
      <c r="L395" t="n">
        <v>0</v>
      </c>
      <c r="M395" t="n">
        <v>0</v>
      </c>
      <c r="N395" t="n">
        <v>0</v>
      </c>
      <c r="O395" t="n">
        <v>6</v>
      </c>
      <c r="P395" t="n">
        <v>1</v>
      </c>
      <c r="Q395" t="n">
        <v>7</v>
      </c>
      <c r="R395" s="2" t="inlineStr">
        <is>
          <t>Knärot
Garnlav
Granticka
Orange taggsvamp
Talltita
Äggvaxskivling
Lavskrika</t>
        </is>
      </c>
      <c r="S395">
        <f>HYPERLINK("https://klasma.github.io/Logging_2482/artfynd/A 13467-2024 artfynd.xlsx", "A 13467-2024")</f>
        <v/>
      </c>
      <c r="T395">
        <f>HYPERLINK("https://klasma.github.io/Logging_2482/kartor/A 13467-2024 karta.png", "A 13467-2024")</f>
        <v/>
      </c>
      <c r="U395">
        <f>HYPERLINK("https://klasma.github.io/Logging_2482/knärot/A 13467-2024 karta knärot.png", "A 13467-2024")</f>
        <v/>
      </c>
      <c r="V395">
        <f>HYPERLINK("https://klasma.github.io/Logging_2482/klagomål/A 13467-2024 FSC-klagomål.docx", "A 13467-2024")</f>
        <v/>
      </c>
      <c r="W395">
        <f>HYPERLINK("https://klasma.github.io/Logging_2482/klagomålsmail/A 13467-2024 FSC-klagomål mail.docx", "A 13467-2024")</f>
        <v/>
      </c>
      <c r="X395">
        <f>HYPERLINK("https://klasma.github.io/Logging_2482/tillsyn/A 13467-2024 tillsynsbegäran.docx", "A 13467-2024")</f>
        <v/>
      </c>
      <c r="Y395">
        <f>HYPERLINK("https://klasma.github.io/Logging_2482/tillsynsmail/A 13467-2024 tillsynsbegäran mail.docx", "A 13467-2024")</f>
        <v/>
      </c>
      <c r="Z395">
        <f>HYPERLINK("https://klasma.github.io/Logging_2482/fåglar/A 13467-2024 prioriterade fågelarter.docx", "A 13467-2024")</f>
        <v/>
      </c>
    </row>
    <row r="396" ht="15" customHeight="1">
      <c r="A396" t="inlineStr">
        <is>
          <t>A 14855-2024</t>
        </is>
      </c>
      <c r="B396" s="1" t="n">
        <v>45398</v>
      </c>
      <c r="C396" s="1" t="n">
        <v>45788</v>
      </c>
      <c r="D396" t="inlineStr">
        <is>
          <t>VÄSTERBOTTENS LÄN</t>
        </is>
      </c>
      <c r="E396" t="inlineStr">
        <is>
          <t>STORUMAN</t>
        </is>
      </c>
      <c r="G396" t="n">
        <v>31.1</v>
      </c>
      <c r="H396" t="n">
        <v>1</v>
      </c>
      <c r="I396" t="n">
        <v>1</v>
      </c>
      <c r="J396" t="n">
        <v>6</v>
      </c>
      <c r="K396" t="n">
        <v>0</v>
      </c>
      <c r="L396" t="n">
        <v>0</v>
      </c>
      <c r="M396" t="n">
        <v>0</v>
      </c>
      <c r="N396" t="n">
        <v>0</v>
      </c>
      <c r="O396" t="n">
        <v>6</v>
      </c>
      <c r="P396" t="n">
        <v>0</v>
      </c>
      <c r="Q396" t="n">
        <v>7</v>
      </c>
      <c r="R396" s="2" t="inlineStr">
        <is>
          <t>Granticka
Harticka
Knottrig blåslav
Rosenticka
Skrovellav
Tretåig hackspett
Skinnlav</t>
        </is>
      </c>
      <c r="S396">
        <f>HYPERLINK("https://klasma.github.io/Logging_2421/artfynd/A 14855-2024 artfynd.xlsx", "A 14855-2024")</f>
        <v/>
      </c>
      <c r="T396">
        <f>HYPERLINK("https://klasma.github.io/Logging_2421/kartor/A 14855-2024 karta.png", "A 14855-2024")</f>
        <v/>
      </c>
      <c r="V396">
        <f>HYPERLINK("https://klasma.github.io/Logging_2421/klagomål/A 14855-2024 FSC-klagomål.docx", "A 14855-2024")</f>
        <v/>
      </c>
      <c r="W396">
        <f>HYPERLINK("https://klasma.github.io/Logging_2421/klagomålsmail/A 14855-2024 FSC-klagomål mail.docx", "A 14855-2024")</f>
        <v/>
      </c>
      <c r="X396">
        <f>HYPERLINK("https://klasma.github.io/Logging_2421/tillsyn/A 14855-2024 tillsynsbegäran.docx", "A 14855-2024")</f>
        <v/>
      </c>
      <c r="Y396">
        <f>HYPERLINK("https://klasma.github.io/Logging_2421/tillsynsmail/A 14855-2024 tillsynsbegäran mail.docx", "A 14855-2024")</f>
        <v/>
      </c>
      <c r="Z396">
        <f>HYPERLINK("https://klasma.github.io/Logging_2421/fåglar/A 14855-2024 prioriterade fågelarter.docx", "A 14855-2024")</f>
        <v/>
      </c>
    </row>
    <row r="397" ht="15" customHeight="1">
      <c r="A397" t="inlineStr">
        <is>
          <t>A 19199-2024</t>
        </is>
      </c>
      <c r="B397" s="1" t="n">
        <v>45428</v>
      </c>
      <c r="C397" s="1" t="n">
        <v>45788</v>
      </c>
      <c r="D397" t="inlineStr">
        <is>
          <t>VÄSTERBOTTENS LÄN</t>
        </is>
      </c>
      <c r="E397" t="inlineStr">
        <is>
          <t>ROBERTSFORS</t>
        </is>
      </c>
      <c r="G397" t="n">
        <v>3.8</v>
      </c>
      <c r="H397" t="n">
        <v>2</v>
      </c>
      <c r="I397" t="n">
        <v>0</v>
      </c>
      <c r="J397" t="n">
        <v>6</v>
      </c>
      <c r="K397" t="n">
        <v>0</v>
      </c>
      <c r="L397" t="n">
        <v>0</v>
      </c>
      <c r="M397" t="n">
        <v>0</v>
      </c>
      <c r="N397" t="n">
        <v>0</v>
      </c>
      <c r="O397" t="n">
        <v>6</v>
      </c>
      <c r="P397" t="n">
        <v>0</v>
      </c>
      <c r="Q397" t="n">
        <v>7</v>
      </c>
      <c r="R397" s="2" t="inlineStr">
        <is>
          <t>Doftskinn
Gammelgransskål
Garnlav
Lunglav
Spillkråka
Ullticka
Revlummer</t>
        </is>
      </c>
      <c r="S397">
        <f>HYPERLINK("https://klasma.github.io/Logging_2409/artfynd/A 19199-2024 artfynd.xlsx", "A 19199-2024")</f>
        <v/>
      </c>
      <c r="T397">
        <f>HYPERLINK("https://klasma.github.io/Logging_2409/kartor/A 19199-2024 karta.png", "A 19199-2024")</f>
        <v/>
      </c>
      <c r="V397">
        <f>HYPERLINK("https://klasma.github.io/Logging_2409/klagomål/A 19199-2024 FSC-klagomål.docx", "A 19199-2024")</f>
        <v/>
      </c>
      <c r="W397">
        <f>HYPERLINK("https://klasma.github.io/Logging_2409/klagomålsmail/A 19199-2024 FSC-klagomål mail.docx", "A 19199-2024")</f>
        <v/>
      </c>
      <c r="X397">
        <f>HYPERLINK("https://klasma.github.io/Logging_2409/tillsyn/A 19199-2024 tillsynsbegäran.docx", "A 19199-2024")</f>
        <v/>
      </c>
      <c r="Y397">
        <f>HYPERLINK("https://klasma.github.io/Logging_2409/tillsynsmail/A 19199-2024 tillsynsbegäran mail.docx", "A 19199-2024")</f>
        <v/>
      </c>
      <c r="Z397">
        <f>HYPERLINK("https://klasma.github.io/Logging_2409/fåglar/A 19199-2024 prioriterade fågelarter.docx", "A 19199-2024")</f>
        <v/>
      </c>
    </row>
    <row r="398" ht="15" customHeight="1">
      <c r="A398" t="inlineStr">
        <is>
          <t>A 19331-2024</t>
        </is>
      </c>
      <c r="B398" s="1" t="n">
        <v>45428</v>
      </c>
      <c r="C398" s="1" t="n">
        <v>45788</v>
      </c>
      <c r="D398" t="inlineStr">
        <is>
          <t>VÄSTERBOTTENS LÄN</t>
        </is>
      </c>
      <c r="E398" t="inlineStr">
        <is>
          <t>DOROTEA</t>
        </is>
      </c>
      <c r="F398" t="inlineStr">
        <is>
          <t>SCA</t>
        </is>
      </c>
      <c r="G398" t="n">
        <v>21.7</v>
      </c>
      <c r="H398" t="n">
        <v>1</v>
      </c>
      <c r="I398" t="n">
        <v>3</v>
      </c>
      <c r="J398" t="n">
        <v>4</v>
      </c>
      <c r="K398" t="n">
        <v>0</v>
      </c>
      <c r="L398" t="n">
        <v>0</v>
      </c>
      <c r="M398" t="n">
        <v>0</v>
      </c>
      <c r="N398" t="n">
        <v>0</v>
      </c>
      <c r="O398" t="n">
        <v>4</v>
      </c>
      <c r="P398" t="n">
        <v>0</v>
      </c>
      <c r="Q398" t="n">
        <v>7</v>
      </c>
      <c r="R398" s="2" t="inlineStr">
        <is>
          <t>Garnlav
Lunglav
Skrovellav
Tretåig hackspett
Bårdlav
Luddlav
Stuplav</t>
        </is>
      </c>
      <c r="S398">
        <f>HYPERLINK("https://klasma.github.io/Logging_2425/artfynd/A 19331-2024 artfynd.xlsx", "A 19331-2024")</f>
        <v/>
      </c>
      <c r="T398">
        <f>HYPERLINK("https://klasma.github.io/Logging_2425/kartor/A 19331-2024 karta.png", "A 19331-2024")</f>
        <v/>
      </c>
      <c r="V398">
        <f>HYPERLINK("https://klasma.github.io/Logging_2425/klagomål/A 19331-2024 FSC-klagomål.docx", "A 19331-2024")</f>
        <v/>
      </c>
      <c r="W398">
        <f>HYPERLINK("https://klasma.github.io/Logging_2425/klagomålsmail/A 19331-2024 FSC-klagomål mail.docx", "A 19331-2024")</f>
        <v/>
      </c>
      <c r="X398">
        <f>HYPERLINK("https://klasma.github.io/Logging_2425/tillsyn/A 19331-2024 tillsynsbegäran.docx", "A 19331-2024")</f>
        <v/>
      </c>
      <c r="Y398">
        <f>HYPERLINK("https://klasma.github.io/Logging_2425/tillsynsmail/A 19331-2024 tillsynsbegäran mail.docx", "A 19331-2024")</f>
        <v/>
      </c>
      <c r="Z398">
        <f>HYPERLINK("https://klasma.github.io/Logging_2425/fåglar/A 19331-2024 prioriterade fågelarter.docx", "A 19331-2024")</f>
        <v/>
      </c>
    </row>
    <row r="399" ht="15" customHeight="1">
      <c r="A399" t="inlineStr">
        <is>
          <t>A 21423-2024</t>
        </is>
      </c>
      <c r="B399" s="1" t="n">
        <v>45441</v>
      </c>
      <c r="C399" s="1" t="n">
        <v>45788</v>
      </c>
      <c r="D399" t="inlineStr">
        <is>
          <t>VÄSTERBOTTENS LÄN</t>
        </is>
      </c>
      <c r="E399" t="inlineStr">
        <is>
          <t>STORUMAN</t>
        </is>
      </c>
      <c r="F399" t="inlineStr">
        <is>
          <t>Allmännings- och besparingsskogar</t>
        </is>
      </c>
      <c r="G399" t="n">
        <v>13.4</v>
      </c>
      <c r="H399" t="n">
        <v>5</v>
      </c>
      <c r="I399" t="n">
        <v>2</v>
      </c>
      <c r="J399" t="n">
        <v>4</v>
      </c>
      <c r="K399" t="n">
        <v>0</v>
      </c>
      <c r="L399" t="n">
        <v>0</v>
      </c>
      <c r="M399" t="n">
        <v>0</v>
      </c>
      <c r="N399" t="n">
        <v>0</v>
      </c>
      <c r="O399" t="n">
        <v>4</v>
      </c>
      <c r="P399" t="n">
        <v>0</v>
      </c>
      <c r="Q399" t="n">
        <v>7</v>
      </c>
      <c r="R399" s="2" t="inlineStr">
        <is>
          <t>Garnlav
Granticka
Spillkråka
Tretåig hackspett
Plattlummer
Spindelblomster
Revlummer</t>
        </is>
      </c>
      <c r="S399">
        <f>HYPERLINK("https://klasma.github.io/Logging_2421/artfynd/A 21423-2024 artfynd.xlsx", "A 21423-2024")</f>
        <v/>
      </c>
      <c r="T399">
        <f>HYPERLINK("https://klasma.github.io/Logging_2421/kartor/A 21423-2024 karta.png", "A 21423-2024")</f>
        <v/>
      </c>
      <c r="V399">
        <f>HYPERLINK("https://klasma.github.io/Logging_2421/klagomål/A 21423-2024 FSC-klagomål.docx", "A 21423-2024")</f>
        <v/>
      </c>
      <c r="W399">
        <f>HYPERLINK("https://klasma.github.io/Logging_2421/klagomålsmail/A 21423-2024 FSC-klagomål mail.docx", "A 21423-2024")</f>
        <v/>
      </c>
      <c r="X399">
        <f>HYPERLINK("https://klasma.github.io/Logging_2421/tillsyn/A 21423-2024 tillsynsbegäran.docx", "A 21423-2024")</f>
        <v/>
      </c>
      <c r="Y399">
        <f>HYPERLINK("https://klasma.github.io/Logging_2421/tillsynsmail/A 21423-2024 tillsynsbegäran mail.docx", "A 21423-2024")</f>
        <v/>
      </c>
      <c r="Z399">
        <f>HYPERLINK("https://klasma.github.io/Logging_2421/fåglar/A 21423-2024 prioriterade fågelarter.docx", "A 21423-2024")</f>
        <v/>
      </c>
    </row>
    <row r="400" ht="15" customHeight="1">
      <c r="A400" t="inlineStr">
        <is>
          <t>A 24811-2024</t>
        </is>
      </c>
      <c r="B400" s="1" t="n">
        <v>45461</v>
      </c>
      <c r="C400" s="1" t="n">
        <v>45788</v>
      </c>
      <c r="D400" t="inlineStr">
        <is>
          <t>VÄSTERBOTTENS LÄN</t>
        </is>
      </c>
      <c r="E400" t="inlineStr">
        <is>
          <t>LYCKSELE</t>
        </is>
      </c>
      <c r="F400" t="inlineStr">
        <is>
          <t>SCA</t>
        </is>
      </c>
      <c r="G400" t="n">
        <v>3.8</v>
      </c>
      <c r="H400" t="n">
        <v>0</v>
      </c>
      <c r="I400" t="n">
        <v>2</v>
      </c>
      <c r="J400" t="n">
        <v>4</v>
      </c>
      <c r="K400" t="n">
        <v>1</v>
      </c>
      <c r="L400" t="n">
        <v>0</v>
      </c>
      <c r="M400" t="n">
        <v>0</v>
      </c>
      <c r="N400" t="n">
        <v>0</v>
      </c>
      <c r="O400" t="n">
        <v>5</v>
      </c>
      <c r="P400" t="n">
        <v>1</v>
      </c>
      <c r="Q400" t="n">
        <v>7</v>
      </c>
      <c r="R400" s="2" t="inlineStr">
        <is>
          <t>Smalfotad taggsvamp
Blanksvart spiklav
Nordlig nållav
Skrovlig taggsvamp
Svartvit taggsvamp
Dropptaggsvamp
Mörkhövdad spiklav</t>
        </is>
      </c>
      <c r="S400">
        <f>HYPERLINK("https://klasma.github.io/Logging_2481/artfynd/A 24811-2024 artfynd.xlsx", "A 24811-2024")</f>
        <v/>
      </c>
      <c r="T400">
        <f>HYPERLINK("https://klasma.github.io/Logging_2481/kartor/A 24811-2024 karta.png", "A 24811-2024")</f>
        <v/>
      </c>
      <c r="V400">
        <f>HYPERLINK("https://klasma.github.io/Logging_2481/klagomål/A 24811-2024 FSC-klagomål.docx", "A 24811-2024")</f>
        <v/>
      </c>
      <c r="W400">
        <f>HYPERLINK("https://klasma.github.io/Logging_2481/klagomålsmail/A 24811-2024 FSC-klagomål mail.docx", "A 24811-2024")</f>
        <v/>
      </c>
      <c r="X400">
        <f>HYPERLINK("https://klasma.github.io/Logging_2481/tillsyn/A 24811-2024 tillsynsbegäran.docx", "A 24811-2024")</f>
        <v/>
      </c>
      <c r="Y400">
        <f>HYPERLINK("https://klasma.github.io/Logging_2481/tillsynsmail/A 24811-2024 tillsynsbegäran mail.docx", "A 24811-2024")</f>
        <v/>
      </c>
    </row>
    <row r="401" ht="15" customHeight="1">
      <c r="A401" t="inlineStr">
        <is>
          <t>A 25564-2024</t>
        </is>
      </c>
      <c r="B401" s="1" t="n">
        <v>45463</v>
      </c>
      <c r="C401" s="1" t="n">
        <v>45788</v>
      </c>
      <c r="D401" t="inlineStr">
        <is>
          <t>VÄSTERBOTTENS LÄN</t>
        </is>
      </c>
      <c r="E401" t="inlineStr">
        <is>
          <t>VILHELMINA</t>
        </is>
      </c>
      <c r="F401" t="inlineStr">
        <is>
          <t>Sveaskog</t>
        </is>
      </c>
      <c r="G401" t="n">
        <v>4.2</v>
      </c>
      <c r="H401" t="n">
        <v>1</v>
      </c>
      <c r="I401" t="n">
        <v>1</v>
      </c>
      <c r="J401" t="n">
        <v>6</v>
      </c>
      <c r="K401" t="n">
        <v>0</v>
      </c>
      <c r="L401" t="n">
        <v>0</v>
      </c>
      <c r="M401" t="n">
        <v>0</v>
      </c>
      <c r="N401" t="n">
        <v>0</v>
      </c>
      <c r="O401" t="n">
        <v>6</v>
      </c>
      <c r="P401" t="n">
        <v>0</v>
      </c>
      <c r="Q401" t="n">
        <v>7</v>
      </c>
      <c r="R401" s="2" t="inlineStr">
        <is>
          <t>Gammelgransskål
Garnlav
Kandelabersvamp
Koralltaggsvamp
Tretåig hackspett
Vedtrappmossa
Blodticka</t>
        </is>
      </c>
      <c r="S401">
        <f>HYPERLINK("https://klasma.github.io/Logging_2462/artfynd/A 25564-2024 artfynd.xlsx", "A 25564-2024")</f>
        <v/>
      </c>
      <c r="T401">
        <f>HYPERLINK("https://klasma.github.io/Logging_2462/kartor/A 25564-2024 karta.png", "A 25564-2024")</f>
        <v/>
      </c>
      <c r="V401">
        <f>HYPERLINK("https://klasma.github.io/Logging_2462/klagomål/A 25564-2024 FSC-klagomål.docx", "A 25564-2024")</f>
        <v/>
      </c>
      <c r="W401">
        <f>HYPERLINK("https://klasma.github.io/Logging_2462/klagomålsmail/A 25564-2024 FSC-klagomål mail.docx", "A 25564-2024")</f>
        <v/>
      </c>
      <c r="X401">
        <f>HYPERLINK("https://klasma.github.io/Logging_2462/tillsyn/A 25564-2024 tillsynsbegäran.docx", "A 25564-2024")</f>
        <v/>
      </c>
      <c r="Y401">
        <f>HYPERLINK("https://klasma.github.io/Logging_2462/tillsynsmail/A 25564-2024 tillsynsbegäran mail.docx", "A 25564-2024")</f>
        <v/>
      </c>
      <c r="Z401">
        <f>HYPERLINK("https://klasma.github.io/Logging_2462/fåglar/A 25564-2024 prioriterade fågelarter.docx", "A 25564-2024")</f>
        <v/>
      </c>
    </row>
    <row r="402" ht="15" customHeight="1">
      <c r="A402" t="inlineStr">
        <is>
          <t>A 32456-2024</t>
        </is>
      </c>
      <c r="B402" s="1" t="n">
        <v>45513</v>
      </c>
      <c r="C402" s="1" t="n">
        <v>45788</v>
      </c>
      <c r="D402" t="inlineStr">
        <is>
          <t>VÄSTERBOTTENS LÄN</t>
        </is>
      </c>
      <c r="E402" t="inlineStr">
        <is>
          <t>VILHELMINA</t>
        </is>
      </c>
      <c r="F402" t="inlineStr">
        <is>
          <t>SCA</t>
        </is>
      </c>
      <c r="G402" t="n">
        <v>10.5</v>
      </c>
      <c r="H402" t="n">
        <v>4</v>
      </c>
      <c r="I402" t="n">
        <v>1</v>
      </c>
      <c r="J402" t="n">
        <v>5</v>
      </c>
      <c r="K402" t="n">
        <v>0</v>
      </c>
      <c r="L402" t="n">
        <v>0</v>
      </c>
      <c r="M402" t="n">
        <v>0</v>
      </c>
      <c r="N402" t="n">
        <v>0</v>
      </c>
      <c r="O402" t="n">
        <v>5</v>
      </c>
      <c r="P402" t="n">
        <v>0</v>
      </c>
      <c r="Q402" t="n">
        <v>7</v>
      </c>
      <c r="R402" s="2" t="inlineStr">
        <is>
          <t>Garnlav
Granticka
Gränsticka
Spillkråka
Tretåig hackspett
Lappranunkel
Revlummer</t>
        </is>
      </c>
      <c r="S402">
        <f>HYPERLINK("https://klasma.github.io/Logging_2462/artfynd/A 32456-2024 artfynd.xlsx", "A 32456-2024")</f>
        <v/>
      </c>
      <c r="T402">
        <f>HYPERLINK("https://klasma.github.io/Logging_2462/kartor/A 32456-2024 karta.png", "A 32456-2024")</f>
        <v/>
      </c>
      <c r="V402">
        <f>HYPERLINK("https://klasma.github.io/Logging_2462/klagomål/A 32456-2024 FSC-klagomål.docx", "A 32456-2024")</f>
        <v/>
      </c>
      <c r="W402">
        <f>HYPERLINK("https://klasma.github.io/Logging_2462/klagomålsmail/A 32456-2024 FSC-klagomål mail.docx", "A 32456-2024")</f>
        <v/>
      </c>
      <c r="X402">
        <f>HYPERLINK("https://klasma.github.io/Logging_2462/tillsyn/A 32456-2024 tillsynsbegäran.docx", "A 32456-2024")</f>
        <v/>
      </c>
      <c r="Y402">
        <f>HYPERLINK("https://klasma.github.io/Logging_2462/tillsynsmail/A 32456-2024 tillsynsbegäran mail.docx", "A 32456-2024")</f>
        <v/>
      </c>
      <c r="Z402">
        <f>HYPERLINK("https://klasma.github.io/Logging_2462/fåglar/A 32456-2024 prioriterade fågelarter.docx", "A 32456-2024")</f>
        <v/>
      </c>
    </row>
    <row r="403" ht="15" customHeight="1">
      <c r="A403" t="inlineStr">
        <is>
          <t>A 33644-2024</t>
        </is>
      </c>
      <c r="B403" s="1" t="n">
        <v>45520</v>
      </c>
      <c r="C403" s="1" t="n">
        <v>45788</v>
      </c>
      <c r="D403" t="inlineStr">
        <is>
          <t>VÄSTERBOTTENS LÄN</t>
        </is>
      </c>
      <c r="E403" t="inlineStr">
        <is>
          <t>SORSELE</t>
        </is>
      </c>
      <c r="F403" t="inlineStr">
        <is>
          <t>Sveaskog</t>
        </is>
      </c>
      <c r="G403" t="n">
        <v>6.6</v>
      </c>
      <c r="H403" t="n">
        <v>2</v>
      </c>
      <c r="I403" t="n">
        <v>0</v>
      </c>
      <c r="J403" t="n">
        <v>7</v>
      </c>
      <c r="K403" t="n">
        <v>0</v>
      </c>
      <c r="L403" t="n">
        <v>0</v>
      </c>
      <c r="M403" t="n">
        <v>0</v>
      </c>
      <c r="N403" t="n">
        <v>0</v>
      </c>
      <c r="O403" t="n">
        <v>7</v>
      </c>
      <c r="P403" t="n">
        <v>0</v>
      </c>
      <c r="Q403" t="n">
        <v>7</v>
      </c>
      <c r="R403" s="2" t="inlineStr">
        <is>
          <t>Dvärgbägarlav
Gammelgransskål
Garnlav
Nordtagging
Talltita
Tretåig hackspett
Vedskivlav</t>
        </is>
      </c>
      <c r="S403">
        <f>HYPERLINK("https://klasma.github.io/Logging_2422/artfynd/A 33644-2024 artfynd.xlsx", "A 33644-2024")</f>
        <v/>
      </c>
      <c r="T403">
        <f>HYPERLINK("https://klasma.github.io/Logging_2422/kartor/A 33644-2024 karta.png", "A 33644-2024")</f>
        <v/>
      </c>
      <c r="V403">
        <f>HYPERLINK("https://klasma.github.io/Logging_2422/klagomål/A 33644-2024 FSC-klagomål.docx", "A 33644-2024")</f>
        <v/>
      </c>
      <c r="W403">
        <f>HYPERLINK("https://klasma.github.io/Logging_2422/klagomålsmail/A 33644-2024 FSC-klagomål mail.docx", "A 33644-2024")</f>
        <v/>
      </c>
      <c r="X403">
        <f>HYPERLINK("https://klasma.github.io/Logging_2422/tillsyn/A 33644-2024 tillsynsbegäran.docx", "A 33644-2024")</f>
        <v/>
      </c>
      <c r="Y403">
        <f>HYPERLINK("https://klasma.github.io/Logging_2422/tillsynsmail/A 33644-2024 tillsynsbegäran mail.docx", "A 33644-2024")</f>
        <v/>
      </c>
      <c r="Z403">
        <f>HYPERLINK("https://klasma.github.io/Logging_2422/fåglar/A 33644-2024 prioriterade fågelarter.docx", "A 33644-2024")</f>
        <v/>
      </c>
    </row>
    <row r="404" ht="15" customHeight="1">
      <c r="A404" t="inlineStr">
        <is>
          <t>A 35393-2024</t>
        </is>
      </c>
      <c r="B404" s="1" t="n">
        <v>45531</v>
      </c>
      <c r="C404" s="1" t="n">
        <v>45788</v>
      </c>
      <c r="D404" t="inlineStr">
        <is>
          <t>VÄSTERBOTTENS LÄN</t>
        </is>
      </c>
      <c r="E404" t="inlineStr">
        <is>
          <t>VILHELMINA</t>
        </is>
      </c>
      <c r="F404" t="inlineStr">
        <is>
          <t>SCA</t>
        </is>
      </c>
      <c r="G404" t="n">
        <v>4.2</v>
      </c>
      <c r="H404" t="n">
        <v>3</v>
      </c>
      <c r="I404" t="n">
        <v>0</v>
      </c>
      <c r="J404" t="n">
        <v>5</v>
      </c>
      <c r="K404" t="n">
        <v>1</v>
      </c>
      <c r="L404" t="n">
        <v>0</v>
      </c>
      <c r="M404" t="n">
        <v>0</v>
      </c>
      <c r="N404" t="n">
        <v>0</v>
      </c>
      <c r="O404" t="n">
        <v>6</v>
      </c>
      <c r="P404" t="n">
        <v>1</v>
      </c>
      <c r="Q404" t="n">
        <v>7</v>
      </c>
      <c r="R404" s="2" t="inlineStr">
        <is>
          <t>Liten sotlav
Gammelgransskål
Garnlav
Granticka
Spillkråka
Tretåig hackspett
Revlummer</t>
        </is>
      </c>
      <c r="S404">
        <f>HYPERLINK("https://klasma.github.io/Logging_2462/artfynd/A 35393-2024 artfynd.xlsx", "A 35393-2024")</f>
        <v/>
      </c>
      <c r="T404">
        <f>HYPERLINK("https://klasma.github.io/Logging_2462/kartor/A 35393-2024 karta.png", "A 35393-2024")</f>
        <v/>
      </c>
      <c r="V404">
        <f>HYPERLINK("https://klasma.github.io/Logging_2462/klagomål/A 35393-2024 FSC-klagomål.docx", "A 35393-2024")</f>
        <v/>
      </c>
      <c r="W404">
        <f>HYPERLINK("https://klasma.github.io/Logging_2462/klagomålsmail/A 35393-2024 FSC-klagomål mail.docx", "A 35393-2024")</f>
        <v/>
      </c>
      <c r="X404">
        <f>HYPERLINK("https://klasma.github.io/Logging_2462/tillsyn/A 35393-2024 tillsynsbegäran.docx", "A 35393-2024")</f>
        <v/>
      </c>
      <c r="Y404">
        <f>HYPERLINK("https://klasma.github.io/Logging_2462/tillsynsmail/A 35393-2024 tillsynsbegäran mail.docx", "A 35393-2024")</f>
        <v/>
      </c>
      <c r="Z404">
        <f>HYPERLINK("https://klasma.github.io/Logging_2462/fåglar/A 35393-2024 prioriterade fågelarter.docx", "A 35393-2024")</f>
        <v/>
      </c>
    </row>
    <row r="405" ht="15" customHeight="1">
      <c r="A405" t="inlineStr">
        <is>
          <t>A 36120-2024</t>
        </is>
      </c>
      <c r="B405" s="1" t="n">
        <v>45534</v>
      </c>
      <c r="C405" s="1" t="n">
        <v>45788</v>
      </c>
      <c r="D405" t="inlineStr">
        <is>
          <t>VÄSTERBOTTENS LÄN</t>
        </is>
      </c>
      <c r="E405" t="inlineStr">
        <is>
          <t>LYCKSELE</t>
        </is>
      </c>
      <c r="F405" t="inlineStr">
        <is>
          <t>Sveaskog</t>
        </is>
      </c>
      <c r="G405" t="n">
        <v>4.2</v>
      </c>
      <c r="H405" t="n">
        <v>0</v>
      </c>
      <c r="I405" t="n">
        <v>3</v>
      </c>
      <c r="J405" t="n">
        <v>3</v>
      </c>
      <c r="K405" t="n">
        <v>1</v>
      </c>
      <c r="L405" t="n">
        <v>0</v>
      </c>
      <c r="M405" t="n">
        <v>0</v>
      </c>
      <c r="N405" t="n">
        <v>0</v>
      </c>
      <c r="O405" t="n">
        <v>4</v>
      </c>
      <c r="P405" t="n">
        <v>1</v>
      </c>
      <c r="Q405" t="n">
        <v>7</v>
      </c>
      <c r="R405" s="2" t="inlineStr">
        <is>
          <t>Rynkskinn
Garnlav
Lunglav
Rosenticka
Blodticka
Dropptaggsvamp
Skarp dropptaggsvamp</t>
        </is>
      </c>
      <c r="S405">
        <f>HYPERLINK("https://klasma.github.io/Logging_2481/artfynd/A 36120-2024 artfynd.xlsx", "A 36120-2024")</f>
        <v/>
      </c>
      <c r="T405">
        <f>HYPERLINK("https://klasma.github.io/Logging_2481/kartor/A 36120-2024 karta.png", "A 36120-2024")</f>
        <v/>
      </c>
      <c r="V405">
        <f>HYPERLINK("https://klasma.github.io/Logging_2481/klagomål/A 36120-2024 FSC-klagomål.docx", "A 36120-2024")</f>
        <v/>
      </c>
      <c r="W405">
        <f>HYPERLINK("https://klasma.github.io/Logging_2481/klagomålsmail/A 36120-2024 FSC-klagomål mail.docx", "A 36120-2024")</f>
        <v/>
      </c>
      <c r="X405">
        <f>HYPERLINK("https://klasma.github.io/Logging_2481/tillsyn/A 36120-2024 tillsynsbegäran.docx", "A 36120-2024")</f>
        <v/>
      </c>
      <c r="Y405">
        <f>HYPERLINK("https://klasma.github.io/Logging_2481/tillsynsmail/A 36120-2024 tillsynsbegäran mail.docx", "A 36120-2024")</f>
        <v/>
      </c>
    </row>
    <row r="406" ht="15" customHeight="1">
      <c r="A406" t="inlineStr">
        <is>
          <t>A 40733-2024</t>
        </is>
      </c>
      <c r="B406" s="1" t="n">
        <v>45558</v>
      </c>
      <c r="C406" s="1" t="n">
        <v>45788</v>
      </c>
      <c r="D406" t="inlineStr">
        <is>
          <t>VÄSTERBOTTENS LÄN</t>
        </is>
      </c>
      <c r="E406" t="inlineStr">
        <is>
          <t>VILHELMINA</t>
        </is>
      </c>
      <c r="F406" t="inlineStr">
        <is>
          <t>Allmännings- och besparingsskogar</t>
        </is>
      </c>
      <c r="G406" t="n">
        <v>7</v>
      </c>
      <c r="H406" t="n">
        <v>1</v>
      </c>
      <c r="I406" t="n">
        <v>2</v>
      </c>
      <c r="J406" t="n">
        <v>5</v>
      </c>
      <c r="K406" t="n">
        <v>0</v>
      </c>
      <c r="L406" t="n">
        <v>0</v>
      </c>
      <c r="M406" t="n">
        <v>0</v>
      </c>
      <c r="N406" t="n">
        <v>0</v>
      </c>
      <c r="O406" t="n">
        <v>5</v>
      </c>
      <c r="P406" t="n">
        <v>0</v>
      </c>
      <c r="Q406" t="n">
        <v>7</v>
      </c>
      <c r="R406" s="2" t="inlineStr">
        <is>
          <t>Garnlav
Granticka
Gränsticka
Skrovellav
Tretåig hackspett
Mörk husmossa
Stuplav</t>
        </is>
      </c>
      <c r="S406">
        <f>HYPERLINK("https://klasma.github.io/Logging_2462/artfynd/A 40733-2024 artfynd.xlsx", "A 40733-2024")</f>
        <v/>
      </c>
      <c r="T406">
        <f>HYPERLINK("https://klasma.github.io/Logging_2462/kartor/A 40733-2024 karta.png", "A 40733-2024")</f>
        <v/>
      </c>
      <c r="V406">
        <f>HYPERLINK("https://klasma.github.io/Logging_2462/klagomål/A 40733-2024 FSC-klagomål.docx", "A 40733-2024")</f>
        <v/>
      </c>
      <c r="W406">
        <f>HYPERLINK("https://klasma.github.io/Logging_2462/klagomålsmail/A 40733-2024 FSC-klagomål mail.docx", "A 40733-2024")</f>
        <v/>
      </c>
      <c r="X406">
        <f>HYPERLINK("https://klasma.github.io/Logging_2462/tillsyn/A 40733-2024 tillsynsbegäran.docx", "A 40733-2024")</f>
        <v/>
      </c>
      <c r="Y406">
        <f>HYPERLINK("https://klasma.github.io/Logging_2462/tillsynsmail/A 40733-2024 tillsynsbegäran mail.docx", "A 40733-2024")</f>
        <v/>
      </c>
      <c r="Z406">
        <f>HYPERLINK("https://klasma.github.io/Logging_2462/fåglar/A 40733-2024 prioriterade fågelarter.docx", "A 40733-2024")</f>
        <v/>
      </c>
    </row>
    <row r="407" ht="15" customHeight="1">
      <c r="A407" t="inlineStr">
        <is>
          <t>A 44354-2024</t>
        </is>
      </c>
      <c r="B407" s="1" t="n">
        <v>45573</v>
      </c>
      <c r="C407" s="1" t="n">
        <v>45788</v>
      </c>
      <c r="D407" t="inlineStr">
        <is>
          <t>VÄSTERBOTTENS LÄN</t>
        </is>
      </c>
      <c r="E407" t="inlineStr">
        <is>
          <t>VILHELMINA</t>
        </is>
      </c>
      <c r="F407" t="inlineStr">
        <is>
          <t>SCA</t>
        </is>
      </c>
      <c r="G407" t="n">
        <v>4.4</v>
      </c>
      <c r="H407" t="n">
        <v>3</v>
      </c>
      <c r="I407" t="n">
        <v>0</v>
      </c>
      <c r="J407" t="n">
        <v>7</v>
      </c>
      <c r="K407" t="n">
        <v>0</v>
      </c>
      <c r="L407" t="n">
        <v>0</v>
      </c>
      <c r="M407" t="n">
        <v>0</v>
      </c>
      <c r="N407" t="n">
        <v>0</v>
      </c>
      <c r="O407" t="n">
        <v>7</v>
      </c>
      <c r="P407" t="n">
        <v>0</v>
      </c>
      <c r="Q407" t="n">
        <v>7</v>
      </c>
      <c r="R407" s="2" t="inlineStr">
        <is>
          <t>Gammelgransskål
Garnlav
Granticka
Rödvingetrast
Spillkråka
Tretåig hackspett
Vitgrynig nållav</t>
        </is>
      </c>
      <c r="S407">
        <f>HYPERLINK("https://klasma.github.io/Logging_2462/artfynd/A 44354-2024 artfynd.xlsx", "A 44354-2024")</f>
        <v/>
      </c>
      <c r="T407">
        <f>HYPERLINK("https://klasma.github.io/Logging_2462/kartor/A 44354-2024 karta.png", "A 44354-2024")</f>
        <v/>
      </c>
      <c r="V407">
        <f>HYPERLINK("https://klasma.github.io/Logging_2462/klagomål/A 44354-2024 FSC-klagomål.docx", "A 44354-2024")</f>
        <v/>
      </c>
      <c r="W407">
        <f>HYPERLINK("https://klasma.github.io/Logging_2462/klagomålsmail/A 44354-2024 FSC-klagomål mail.docx", "A 44354-2024")</f>
        <v/>
      </c>
      <c r="X407">
        <f>HYPERLINK("https://klasma.github.io/Logging_2462/tillsyn/A 44354-2024 tillsynsbegäran.docx", "A 44354-2024")</f>
        <v/>
      </c>
      <c r="Y407">
        <f>HYPERLINK("https://klasma.github.io/Logging_2462/tillsynsmail/A 44354-2024 tillsynsbegäran mail.docx", "A 44354-2024")</f>
        <v/>
      </c>
      <c r="Z407">
        <f>HYPERLINK("https://klasma.github.io/Logging_2462/fåglar/A 44354-2024 prioriterade fågelarter.docx", "A 44354-2024")</f>
        <v/>
      </c>
    </row>
    <row r="408" ht="15" customHeight="1">
      <c r="A408" t="inlineStr">
        <is>
          <t>A 46146-2024</t>
        </is>
      </c>
      <c r="B408" s="1" t="n">
        <v>45581</v>
      </c>
      <c r="C408" s="1" t="n">
        <v>45788</v>
      </c>
      <c r="D408" t="inlineStr">
        <is>
          <t>VÄSTERBOTTENS LÄN</t>
        </is>
      </c>
      <c r="E408" t="inlineStr">
        <is>
          <t>UMEÅ</t>
        </is>
      </c>
      <c r="G408" t="n">
        <v>8.300000000000001</v>
      </c>
      <c r="H408" t="n">
        <v>3</v>
      </c>
      <c r="I408" t="n">
        <v>1</v>
      </c>
      <c r="J408" t="n">
        <v>4</v>
      </c>
      <c r="K408" t="n">
        <v>0</v>
      </c>
      <c r="L408" t="n">
        <v>0</v>
      </c>
      <c r="M408" t="n">
        <v>0</v>
      </c>
      <c r="N408" t="n">
        <v>0</v>
      </c>
      <c r="O408" t="n">
        <v>4</v>
      </c>
      <c r="P408" t="n">
        <v>0</v>
      </c>
      <c r="Q408" t="n">
        <v>7</v>
      </c>
      <c r="R408" s="2" t="inlineStr">
        <is>
          <t>Garnlav
Granticka
Spillkråka
Ullticka
Vedticka
Gråspett
Kungsfågel</t>
        </is>
      </c>
      <c r="S408">
        <f>HYPERLINK("https://klasma.github.io/Logging_2480/artfynd/A 46146-2024 artfynd.xlsx", "A 46146-2024")</f>
        <v/>
      </c>
      <c r="T408">
        <f>HYPERLINK("https://klasma.github.io/Logging_2480/kartor/A 46146-2024 karta.png", "A 46146-2024")</f>
        <v/>
      </c>
      <c r="V408">
        <f>HYPERLINK("https://klasma.github.io/Logging_2480/klagomål/A 46146-2024 FSC-klagomål.docx", "A 46146-2024")</f>
        <v/>
      </c>
      <c r="W408">
        <f>HYPERLINK("https://klasma.github.io/Logging_2480/klagomålsmail/A 46146-2024 FSC-klagomål mail.docx", "A 46146-2024")</f>
        <v/>
      </c>
      <c r="X408">
        <f>HYPERLINK("https://klasma.github.io/Logging_2480/tillsyn/A 46146-2024 tillsynsbegäran.docx", "A 46146-2024")</f>
        <v/>
      </c>
      <c r="Y408">
        <f>HYPERLINK("https://klasma.github.io/Logging_2480/tillsynsmail/A 46146-2024 tillsynsbegäran mail.docx", "A 46146-2024")</f>
        <v/>
      </c>
      <c r="Z408">
        <f>HYPERLINK("https://klasma.github.io/Logging_2480/fåglar/A 46146-2024 prioriterade fågelarter.docx", "A 46146-2024")</f>
        <v/>
      </c>
    </row>
    <row r="409" ht="15" customHeight="1">
      <c r="A409" t="inlineStr">
        <is>
          <t>A 46834-2024</t>
        </is>
      </c>
      <c r="B409" s="1" t="n">
        <v>45583</v>
      </c>
      <c r="C409" s="1" t="n">
        <v>45788</v>
      </c>
      <c r="D409" t="inlineStr">
        <is>
          <t>VÄSTERBOTTENS LÄN</t>
        </is>
      </c>
      <c r="E409" t="inlineStr">
        <is>
          <t>DOROTEA</t>
        </is>
      </c>
      <c r="F409" t="inlineStr">
        <is>
          <t>SCA</t>
        </is>
      </c>
      <c r="G409" t="n">
        <v>7.5</v>
      </c>
      <c r="H409" t="n">
        <v>0</v>
      </c>
      <c r="I409" t="n">
        <v>2</v>
      </c>
      <c r="J409" t="n">
        <v>5</v>
      </c>
      <c r="K409" t="n">
        <v>0</v>
      </c>
      <c r="L409" t="n">
        <v>0</v>
      </c>
      <c r="M409" t="n">
        <v>0</v>
      </c>
      <c r="N409" t="n">
        <v>0</v>
      </c>
      <c r="O409" t="n">
        <v>5</v>
      </c>
      <c r="P409" t="n">
        <v>0</v>
      </c>
      <c r="Q409" t="n">
        <v>7</v>
      </c>
      <c r="R409" s="2" t="inlineStr">
        <is>
          <t>Garnlav
Granticka
Lunglav
Skrovellav
Vitgrynig nållav
Barkticka
Luddlav</t>
        </is>
      </c>
      <c r="S409">
        <f>HYPERLINK("https://klasma.github.io/Logging_2425/artfynd/A 46834-2024 artfynd.xlsx", "A 46834-2024")</f>
        <v/>
      </c>
      <c r="T409">
        <f>HYPERLINK("https://klasma.github.io/Logging_2425/kartor/A 46834-2024 karta.png", "A 46834-2024")</f>
        <v/>
      </c>
      <c r="V409">
        <f>HYPERLINK("https://klasma.github.io/Logging_2425/klagomål/A 46834-2024 FSC-klagomål.docx", "A 46834-2024")</f>
        <v/>
      </c>
      <c r="W409">
        <f>HYPERLINK("https://klasma.github.io/Logging_2425/klagomålsmail/A 46834-2024 FSC-klagomål mail.docx", "A 46834-2024")</f>
        <v/>
      </c>
      <c r="X409">
        <f>HYPERLINK("https://klasma.github.io/Logging_2425/tillsyn/A 46834-2024 tillsynsbegäran.docx", "A 46834-2024")</f>
        <v/>
      </c>
      <c r="Y409">
        <f>HYPERLINK("https://klasma.github.io/Logging_2425/tillsynsmail/A 46834-2024 tillsynsbegäran mail.docx", "A 46834-2024")</f>
        <v/>
      </c>
    </row>
    <row r="410" ht="15" customHeight="1">
      <c r="A410" t="inlineStr">
        <is>
          <t>A 47725-2024</t>
        </is>
      </c>
      <c r="B410" s="1" t="n">
        <v>45588</v>
      </c>
      <c r="C410" s="1" t="n">
        <v>45788</v>
      </c>
      <c r="D410" t="inlineStr">
        <is>
          <t>VÄSTERBOTTENS LÄN</t>
        </is>
      </c>
      <c r="E410" t="inlineStr">
        <is>
          <t>NORSJÖ</t>
        </is>
      </c>
      <c r="G410" t="n">
        <v>3.1</v>
      </c>
      <c r="H410" t="n">
        <v>1</v>
      </c>
      <c r="I410" t="n">
        <v>3</v>
      </c>
      <c r="J410" t="n">
        <v>3</v>
      </c>
      <c r="K410" t="n">
        <v>1</v>
      </c>
      <c r="L410" t="n">
        <v>0</v>
      </c>
      <c r="M410" t="n">
        <v>0</v>
      </c>
      <c r="N410" t="n">
        <v>0</v>
      </c>
      <c r="O410" t="n">
        <v>4</v>
      </c>
      <c r="P410" t="n">
        <v>1</v>
      </c>
      <c r="Q410" t="n">
        <v>7</v>
      </c>
      <c r="R410" s="2" t="inlineStr">
        <is>
          <t>Knärot
Gammelgransskål
Mörk kolflarnlav
Vitgrynig nållav
Bårdlav
Dropptaggsvamp
Ögonpyrola</t>
        </is>
      </c>
      <c r="S410">
        <f>HYPERLINK("https://klasma.github.io/Logging_2417/artfynd/A 47725-2024 artfynd.xlsx", "A 47725-2024")</f>
        <v/>
      </c>
      <c r="T410">
        <f>HYPERLINK("https://klasma.github.io/Logging_2417/kartor/A 47725-2024 karta.png", "A 47725-2024")</f>
        <v/>
      </c>
      <c r="U410">
        <f>HYPERLINK("https://klasma.github.io/Logging_2417/knärot/A 47725-2024 karta knärot.png", "A 47725-2024")</f>
        <v/>
      </c>
      <c r="V410">
        <f>HYPERLINK("https://klasma.github.io/Logging_2417/klagomål/A 47725-2024 FSC-klagomål.docx", "A 47725-2024")</f>
        <v/>
      </c>
      <c r="W410">
        <f>HYPERLINK("https://klasma.github.io/Logging_2417/klagomålsmail/A 47725-2024 FSC-klagomål mail.docx", "A 47725-2024")</f>
        <v/>
      </c>
      <c r="X410">
        <f>HYPERLINK("https://klasma.github.io/Logging_2417/tillsyn/A 47725-2024 tillsynsbegäran.docx", "A 47725-2024")</f>
        <v/>
      </c>
      <c r="Y410">
        <f>HYPERLINK("https://klasma.github.io/Logging_2417/tillsynsmail/A 47725-2024 tillsynsbegäran mail.docx", "A 47725-2024")</f>
        <v/>
      </c>
    </row>
    <row r="411" ht="15" customHeight="1">
      <c r="A411" t="inlineStr">
        <is>
          <t>A 47932-2024</t>
        </is>
      </c>
      <c r="B411" s="1" t="n">
        <v>45589</v>
      </c>
      <c r="C411" s="1" t="n">
        <v>45788</v>
      </c>
      <c r="D411" t="inlineStr">
        <is>
          <t>VÄSTERBOTTENS LÄN</t>
        </is>
      </c>
      <c r="E411" t="inlineStr">
        <is>
          <t>VILHELMINA</t>
        </is>
      </c>
      <c r="F411" t="inlineStr">
        <is>
          <t>SCA</t>
        </is>
      </c>
      <c r="G411" t="n">
        <v>15.4</v>
      </c>
      <c r="H411" t="n">
        <v>3</v>
      </c>
      <c r="I411" t="n">
        <v>0</v>
      </c>
      <c r="J411" t="n">
        <v>6</v>
      </c>
      <c r="K411" t="n">
        <v>0</v>
      </c>
      <c r="L411" t="n">
        <v>0</v>
      </c>
      <c r="M411" t="n">
        <v>0</v>
      </c>
      <c r="N411" t="n">
        <v>0</v>
      </c>
      <c r="O411" t="n">
        <v>6</v>
      </c>
      <c r="P411" t="n">
        <v>0</v>
      </c>
      <c r="Q411" t="n">
        <v>7</v>
      </c>
      <c r="R411" s="2" t="inlineStr">
        <is>
          <t>Brunpudrad nållav
Garnlav
Granticka
Spillkråka
Tretåig hackspett
Vitgrynig nållav
Revlummer</t>
        </is>
      </c>
      <c r="S411">
        <f>HYPERLINK("https://klasma.github.io/Logging_2462/artfynd/A 47932-2024 artfynd.xlsx", "A 47932-2024")</f>
        <v/>
      </c>
      <c r="T411">
        <f>HYPERLINK("https://klasma.github.io/Logging_2462/kartor/A 47932-2024 karta.png", "A 47932-2024")</f>
        <v/>
      </c>
      <c r="V411">
        <f>HYPERLINK("https://klasma.github.io/Logging_2462/klagomål/A 47932-2024 FSC-klagomål.docx", "A 47932-2024")</f>
        <v/>
      </c>
      <c r="W411">
        <f>HYPERLINK("https://klasma.github.io/Logging_2462/klagomålsmail/A 47932-2024 FSC-klagomål mail.docx", "A 47932-2024")</f>
        <v/>
      </c>
      <c r="X411">
        <f>HYPERLINK("https://klasma.github.io/Logging_2462/tillsyn/A 47932-2024 tillsynsbegäran.docx", "A 47932-2024")</f>
        <v/>
      </c>
      <c r="Y411">
        <f>HYPERLINK("https://klasma.github.io/Logging_2462/tillsynsmail/A 47932-2024 tillsynsbegäran mail.docx", "A 47932-2024")</f>
        <v/>
      </c>
      <c r="Z411">
        <f>HYPERLINK("https://klasma.github.io/Logging_2462/fåglar/A 47932-2024 prioriterade fågelarter.docx", "A 47932-2024")</f>
        <v/>
      </c>
    </row>
    <row r="412" ht="15" customHeight="1">
      <c r="A412" t="inlineStr">
        <is>
          <t>A 57059-2024</t>
        </is>
      </c>
      <c r="B412" s="1" t="n">
        <v>45629</v>
      </c>
      <c r="C412" s="1" t="n">
        <v>45788</v>
      </c>
      <c r="D412" t="inlineStr">
        <is>
          <t>VÄSTERBOTTENS LÄN</t>
        </is>
      </c>
      <c r="E412" t="inlineStr">
        <is>
          <t>DOROTEA</t>
        </is>
      </c>
      <c r="F412" t="inlineStr">
        <is>
          <t>SCA</t>
        </is>
      </c>
      <c r="G412" t="n">
        <v>7.5</v>
      </c>
      <c r="H412" t="n">
        <v>0</v>
      </c>
      <c r="I412" t="n">
        <v>2</v>
      </c>
      <c r="J412" t="n">
        <v>5</v>
      </c>
      <c r="K412" t="n">
        <v>0</v>
      </c>
      <c r="L412" t="n">
        <v>0</v>
      </c>
      <c r="M412" t="n">
        <v>0</v>
      </c>
      <c r="N412" t="n">
        <v>0</v>
      </c>
      <c r="O412" t="n">
        <v>5</v>
      </c>
      <c r="P412" t="n">
        <v>0</v>
      </c>
      <c r="Q412" t="n">
        <v>7</v>
      </c>
      <c r="R412" s="2" t="inlineStr">
        <is>
          <t>Garnlav
Granticka
Lunglav
Skrovellav
Vitgrynig nållav
Barkticka
Luddlav</t>
        </is>
      </c>
      <c r="S412">
        <f>HYPERLINK("https://klasma.github.io/Logging_2425/artfynd/A 57059-2024 artfynd.xlsx", "A 57059-2024")</f>
        <v/>
      </c>
      <c r="T412">
        <f>HYPERLINK("https://klasma.github.io/Logging_2425/kartor/A 57059-2024 karta.png", "A 57059-2024")</f>
        <v/>
      </c>
      <c r="V412">
        <f>HYPERLINK("https://klasma.github.io/Logging_2425/klagomål/A 57059-2024 FSC-klagomål.docx", "A 57059-2024")</f>
        <v/>
      </c>
      <c r="W412">
        <f>HYPERLINK("https://klasma.github.io/Logging_2425/klagomålsmail/A 57059-2024 FSC-klagomål mail.docx", "A 57059-2024")</f>
        <v/>
      </c>
      <c r="X412">
        <f>HYPERLINK("https://klasma.github.io/Logging_2425/tillsyn/A 57059-2024 tillsynsbegäran.docx", "A 57059-2024")</f>
        <v/>
      </c>
      <c r="Y412">
        <f>HYPERLINK("https://klasma.github.io/Logging_2425/tillsynsmail/A 57059-2024 tillsynsbegäran mail.docx", "A 57059-2024")</f>
        <v/>
      </c>
    </row>
    <row r="413" ht="15" customHeight="1">
      <c r="A413" t="inlineStr">
        <is>
          <t>A 12875-2025</t>
        </is>
      </c>
      <c r="B413" s="1" t="n">
        <v>45733</v>
      </c>
      <c r="C413" s="1" t="n">
        <v>45788</v>
      </c>
      <c r="D413" t="inlineStr">
        <is>
          <t>VÄSTERBOTTENS LÄN</t>
        </is>
      </c>
      <c r="E413" t="inlineStr">
        <is>
          <t>BJURHOLM</t>
        </is>
      </c>
      <c r="G413" t="n">
        <v>12.8</v>
      </c>
      <c r="H413" t="n">
        <v>1</v>
      </c>
      <c r="I413" t="n">
        <v>1</v>
      </c>
      <c r="J413" t="n">
        <v>3</v>
      </c>
      <c r="K413" t="n">
        <v>3</v>
      </c>
      <c r="L413" t="n">
        <v>0</v>
      </c>
      <c r="M413" t="n">
        <v>0</v>
      </c>
      <c r="N413" t="n">
        <v>0</v>
      </c>
      <c r="O413" t="n">
        <v>6</v>
      </c>
      <c r="P413" t="n">
        <v>3</v>
      </c>
      <c r="Q413" t="n">
        <v>7</v>
      </c>
      <c r="R413" s="2" t="inlineStr">
        <is>
          <t>Grantickeporing
Knärot
Rynkskinn
Granticka
Gränsticka
Ullticka
Vedticka</t>
        </is>
      </c>
      <c r="S413">
        <f>HYPERLINK("https://klasma.github.io/Logging_242403/artfynd/A 12875-2025 artfynd.xlsx", "A 12875-2025")</f>
        <v/>
      </c>
      <c r="T413">
        <f>HYPERLINK("https://klasma.github.io/Logging_242403/kartor/A 12875-2025 karta.png", "A 12875-2025")</f>
        <v/>
      </c>
      <c r="U413">
        <f>HYPERLINK("https://klasma.github.io/Logging_242403/knärot/A 12875-2025 karta knärot.png", "A 12875-2025")</f>
        <v/>
      </c>
      <c r="V413">
        <f>HYPERLINK("https://klasma.github.io/Logging_242403/klagomål/A 12875-2025 FSC-klagomål.docx", "A 12875-2025")</f>
        <v/>
      </c>
      <c r="W413">
        <f>HYPERLINK("https://klasma.github.io/Logging_242403/klagomålsmail/A 12875-2025 FSC-klagomål mail.docx", "A 12875-2025")</f>
        <v/>
      </c>
      <c r="X413">
        <f>HYPERLINK("https://klasma.github.io/Logging_242403/tillsyn/A 12875-2025 tillsynsbegäran.docx", "A 12875-2025")</f>
        <v/>
      </c>
      <c r="Y413">
        <f>HYPERLINK("https://klasma.github.io/Logging_242403/tillsynsmail/A 12875-2025 tillsynsbegäran mail.docx", "A 12875-2025")</f>
        <v/>
      </c>
    </row>
    <row r="414" ht="15" customHeight="1">
      <c r="A414" t="inlineStr">
        <is>
          <t>A 21922-2025</t>
        </is>
      </c>
      <c r="B414" s="1" t="n">
        <v>45784</v>
      </c>
      <c r="C414" s="1" t="n">
        <v>45788</v>
      </c>
      <c r="D414" t="inlineStr">
        <is>
          <t>VÄSTERBOTTENS LÄN</t>
        </is>
      </c>
      <c r="E414" t="inlineStr">
        <is>
          <t>UMEÅ</t>
        </is>
      </c>
      <c r="G414" t="n">
        <v>2.6</v>
      </c>
      <c r="H414" t="n">
        <v>1</v>
      </c>
      <c r="I414" t="n">
        <v>2</v>
      </c>
      <c r="J414" t="n">
        <v>2</v>
      </c>
      <c r="K414" t="n">
        <v>3</v>
      </c>
      <c r="L414" t="n">
        <v>0</v>
      </c>
      <c r="M414" t="n">
        <v>0</v>
      </c>
      <c r="N414" t="n">
        <v>0</v>
      </c>
      <c r="O414" t="n">
        <v>5</v>
      </c>
      <c r="P414" t="n">
        <v>3</v>
      </c>
      <c r="Q414" t="n">
        <v>7</v>
      </c>
      <c r="R414" s="2" t="inlineStr">
        <is>
          <t>Blackticka
Ostticka
Rynkskinn
Granticka
Tretåig hackspett
Trådticka
Vedticka</t>
        </is>
      </c>
      <c r="S414">
        <f>HYPERLINK("https://klasma.github.io/Logging_242480/artfynd/A 21922-2025 artfynd.xlsx", "A 21922-2025")</f>
        <v/>
      </c>
      <c r="T414">
        <f>HYPERLINK("https://klasma.github.io/Logging_242480/kartor/A 21922-2025 karta.png", "A 21922-2025")</f>
        <v/>
      </c>
      <c r="V414">
        <f>HYPERLINK("https://klasma.github.io/Logging_242480/klagomål/A 21922-2025 FSC-klagomål.docx", "A 21922-2025")</f>
        <v/>
      </c>
      <c r="W414">
        <f>HYPERLINK("https://klasma.github.io/Logging_242480/klagomålsmail/A 21922-2025 FSC-klagomål mail.docx", "A 21922-2025")</f>
        <v/>
      </c>
      <c r="X414">
        <f>HYPERLINK("https://klasma.github.io/Logging_242480/tillsyn/A 21922-2025 tillsynsbegäran.docx", "A 21922-2025")</f>
        <v/>
      </c>
      <c r="Y414">
        <f>HYPERLINK("https://klasma.github.io/Logging_242480/tillsynsmail/A 21922-2025 tillsynsbegäran mail.docx", "A 21922-2025")</f>
        <v/>
      </c>
      <c r="Z414">
        <f>HYPERLINK("https://klasma.github.io/Logging_242480/fåglar/A 21922-2025 prioriterade fågelarter.docx", "A 21922-2025")</f>
        <v/>
      </c>
    </row>
    <row r="415" ht="15" customHeight="1">
      <c r="A415" t="inlineStr">
        <is>
          <t>A 26207-2019</t>
        </is>
      </c>
      <c r="B415" s="1" t="n">
        <v>43609</v>
      </c>
      <c r="C415" s="1" t="n">
        <v>45788</v>
      </c>
      <c r="D415" t="inlineStr">
        <is>
          <t>VÄSTERBOTTENS LÄN</t>
        </is>
      </c>
      <c r="E415" t="inlineStr">
        <is>
          <t>VÄNNÄS</t>
        </is>
      </c>
      <c r="G415" t="n">
        <v>16</v>
      </c>
      <c r="H415" t="n">
        <v>0</v>
      </c>
      <c r="I415" t="n">
        <v>2</v>
      </c>
      <c r="J415" t="n">
        <v>4</v>
      </c>
      <c r="K415" t="n">
        <v>0</v>
      </c>
      <c r="L415" t="n">
        <v>0</v>
      </c>
      <c r="M415" t="n">
        <v>0</v>
      </c>
      <c r="N415" t="n">
        <v>0</v>
      </c>
      <c r="O415" t="n">
        <v>4</v>
      </c>
      <c r="P415" t="n">
        <v>0</v>
      </c>
      <c r="Q415" t="n">
        <v>6</v>
      </c>
      <c r="R415" s="2" t="inlineStr">
        <is>
          <t>Gammelgransskål
Garnlav
Ullticka
Violettgrå tagellav
Bårdlav
Stuplav</t>
        </is>
      </c>
      <c r="S415">
        <f>HYPERLINK("https://klasma.github.io/Logging_2460/artfynd/A 26207-2019 artfynd.xlsx", "A 26207-2019")</f>
        <v/>
      </c>
      <c r="T415">
        <f>HYPERLINK("https://klasma.github.io/Logging_2460/kartor/A 26207-2019 karta.png", "A 26207-2019")</f>
        <v/>
      </c>
      <c r="V415">
        <f>HYPERLINK("https://klasma.github.io/Logging_2460/klagomål/A 26207-2019 FSC-klagomål.docx", "A 26207-2019")</f>
        <v/>
      </c>
      <c r="W415">
        <f>HYPERLINK("https://klasma.github.io/Logging_2460/klagomålsmail/A 26207-2019 FSC-klagomål mail.docx", "A 26207-2019")</f>
        <v/>
      </c>
      <c r="X415">
        <f>HYPERLINK("https://klasma.github.io/Logging_2460/tillsyn/A 26207-2019 tillsynsbegäran.docx", "A 26207-2019")</f>
        <v/>
      </c>
      <c r="Y415">
        <f>HYPERLINK("https://klasma.github.io/Logging_2460/tillsynsmail/A 26207-2019 tillsynsbegäran mail.docx", "A 26207-2019")</f>
        <v/>
      </c>
    </row>
    <row r="416" ht="15" customHeight="1">
      <c r="A416" t="inlineStr">
        <is>
          <t>A 32609-2019</t>
        </is>
      </c>
      <c r="B416" s="1" t="n">
        <v>43647</v>
      </c>
      <c r="C416" s="1" t="n">
        <v>45788</v>
      </c>
      <c r="D416" t="inlineStr">
        <is>
          <t>VÄSTERBOTTENS LÄN</t>
        </is>
      </c>
      <c r="E416" t="inlineStr">
        <is>
          <t>VINDELN</t>
        </is>
      </c>
      <c r="F416" t="inlineStr">
        <is>
          <t>Sveaskog</t>
        </is>
      </c>
      <c r="G416" t="n">
        <v>4</v>
      </c>
      <c r="H416" t="n">
        <v>0</v>
      </c>
      <c r="I416" t="n">
        <v>1</v>
      </c>
      <c r="J416" t="n">
        <v>4</v>
      </c>
      <c r="K416" t="n">
        <v>1</v>
      </c>
      <c r="L416" t="n">
        <v>0</v>
      </c>
      <c r="M416" t="n">
        <v>0</v>
      </c>
      <c r="N416" t="n">
        <v>0</v>
      </c>
      <c r="O416" t="n">
        <v>5</v>
      </c>
      <c r="P416" t="n">
        <v>1</v>
      </c>
      <c r="Q416" t="n">
        <v>6</v>
      </c>
      <c r="R416" s="2" t="inlineStr">
        <is>
          <t>Goliatmusseron
Blå taggsvamp
Orange taggsvamp
Skrovlig taggsvamp
Tallriska
Dropptaggsvamp</t>
        </is>
      </c>
      <c r="S416">
        <f>HYPERLINK("https://klasma.github.io/Logging_2404/artfynd/A 32609-2019 artfynd.xlsx", "A 32609-2019")</f>
        <v/>
      </c>
      <c r="T416">
        <f>HYPERLINK("https://klasma.github.io/Logging_2404/kartor/A 32609-2019 karta.png", "A 32609-2019")</f>
        <v/>
      </c>
      <c r="V416">
        <f>HYPERLINK("https://klasma.github.io/Logging_2404/klagomål/A 32609-2019 FSC-klagomål.docx", "A 32609-2019")</f>
        <v/>
      </c>
      <c r="W416">
        <f>HYPERLINK("https://klasma.github.io/Logging_2404/klagomålsmail/A 32609-2019 FSC-klagomål mail.docx", "A 32609-2019")</f>
        <v/>
      </c>
      <c r="X416">
        <f>HYPERLINK("https://klasma.github.io/Logging_2404/tillsyn/A 32609-2019 tillsynsbegäran.docx", "A 32609-2019")</f>
        <v/>
      </c>
      <c r="Y416">
        <f>HYPERLINK("https://klasma.github.io/Logging_2404/tillsynsmail/A 32609-2019 tillsynsbegäran mail.docx", "A 32609-2019")</f>
        <v/>
      </c>
    </row>
    <row r="417" ht="15" customHeight="1">
      <c r="A417" t="inlineStr">
        <is>
          <t>A 35558-2019</t>
        </is>
      </c>
      <c r="B417" s="1" t="n">
        <v>43664</v>
      </c>
      <c r="C417" s="1" t="n">
        <v>45788</v>
      </c>
      <c r="D417" t="inlineStr">
        <is>
          <t>VÄSTERBOTTENS LÄN</t>
        </is>
      </c>
      <c r="E417" t="inlineStr">
        <is>
          <t>ÅSELE</t>
        </is>
      </c>
      <c r="F417" t="inlineStr">
        <is>
          <t>Sveaskog</t>
        </is>
      </c>
      <c r="G417" t="n">
        <v>10.7</v>
      </c>
      <c r="H417" t="n">
        <v>1</v>
      </c>
      <c r="I417" t="n">
        <v>1</v>
      </c>
      <c r="J417" t="n">
        <v>5</v>
      </c>
      <c r="K417" t="n">
        <v>0</v>
      </c>
      <c r="L417" t="n">
        <v>0</v>
      </c>
      <c r="M417" t="n">
        <v>0</v>
      </c>
      <c r="N417" t="n">
        <v>0</v>
      </c>
      <c r="O417" t="n">
        <v>5</v>
      </c>
      <c r="P417" t="n">
        <v>0</v>
      </c>
      <c r="Q417" t="n">
        <v>6</v>
      </c>
      <c r="R417" s="2" t="inlineStr">
        <is>
          <t>Garnlav
Lunglav
Skrovellav
Tretåig hackspett
Ullticka
Bronshjon</t>
        </is>
      </c>
      <c r="S417">
        <f>HYPERLINK("https://klasma.github.io/Logging_2463/artfynd/A 35558-2019 artfynd.xlsx", "A 35558-2019")</f>
        <v/>
      </c>
      <c r="T417">
        <f>HYPERLINK("https://klasma.github.io/Logging_2463/kartor/A 35558-2019 karta.png", "A 35558-2019")</f>
        <v/>
      </c>
      <c r="V417">
        <f>HYPERLINK("https://klasma.github.io/Logging_2463/klagomål/A 35558-2019 FSC-klagomål.docx", "A 35558-2019")</f>
        <v/>
      </c>
      <c r="W417">
        <f>HYPERLINK("https://klasma.github.io/Logging_2463/klagomålsmail/A 35558-2019 FSC-klagomål mail.docx", "A 35558-2019")</f>
        <v/>
      </c>
      <c r="X417">
        <f>HYPERLINK("https://klasma.github.io/Logging_2463/tillsyn/A 35558-2019 tillsynsbegäran.docx", "A 35558-2019")</f>
        <v/>
      </c>
      <c r="Y417">
        <f>HYPERLINK("https://klasma.github.io/Logging_2463/tillsynsmail/A 35558-2019 tillsynsbegäran mail.docx", "A 35558-2019")</f>
        <v/>
      </c>
      <c r="Z417">
        <f>HYPERLINK("https://klasma.github.io/Logging_2463/fåglar/A 35558-2019 prioriterade fågelarter.docx", "A 35558-2019")</f>
        <v/>
      </c>
    </row>
    <row r="418" ht="15" customHeight="1">
      <c r="A418" t="inlineStr">
        <is>
          <t>A 41641-2019</t>
        </is>
      </c>
      <c r="B418" s="1" t="n">
        <v>43696</v>
      </c>
      <c r="C418" s="1" t="n">
        <v>45788</v>
      </c>
      <c r="D418" t="inlineStr">
        <is>
          <t>VÄSTERBOTTENS LÄN</t>
        </is>
      </c>
      <c r="E418" t="inlineStr">
        <is>
          <t>SKELLEFTEÅ</t>
        </is>
      </c>
      <c r="G418" t="n">
        <v>6.1</v>
      </c>
      <c r="H418" t="n">
        <v>1</v>
      </c>
      <c r="I418" t="n">
        <v>1</v>
      </c>
      <c r="J418" t="n">
        <v>5</v>
      </c>
      <c r="K418" t="n">
        <v>0</v>
      </c>
      <c r="L418" t="n">
        <v>0</v>
      </c>
      <c r="M418" t="n">
        <v>0</v>
      </c>
      <c r="N418" t="n">
        <v>0</v>
      </c>
      <c r="O418" t="n">
        <v>5</v>
      </c>
      <c r="P418" t="n">
        <v>0</v>
      </c>
      <c r="Q418" t="n">
        <v>6</v>
      </c>
      <c r="R418" s="2" t="inlineStr">
        <is>
          <t>Garnlav
Granticka
Harticka
Tretåig hackspett
Ullticka
Vedticka</t>
        </is>
      </c>
      <c r="S418">
        <f>HYPERLINK("https://klasma.github.io/Logging_2482/artfynd/A 41641-2019 artfynd.xlsx", "A 41641-2019")</f>
        <v/>
      </c>
      <c r="T418">
        <f>HYPERLINK("https://klasma.github.io/Logging_2482/kartor/A 41641-2019 karta.png", "A 41641-2019")</f>
        <v/>
      </c>
      <c r="V418">
        <f>HYPERLINK("https://klasma.github.io/Logging_2482/klagomål/A 41641-2019 FSC-klagomål.docx", "A 41641-2019")</f>
        <v/>
      </c>
      <c r="W418">
        <f>HYPERLINK("https://klasma.github.io/Logging_2482/klagomålsmail/A 41641-2019 FSC-klagomål mail.docx", "A 41641-2019")</f>
        <v/>
      </c>
      <c r="X418">
        <f>HYPERLINK("https://klasma.github.io/Logging_2482/tillsyn/A 41641-2019 tillsynsbegäran.docx", "A 41641-2019")</f>
        <v/>
      </c>
      <c r="Y418">
        <f>HYPERLINK("https://klasma.github.io/Logging_2482/tillsynsmail/A 41641-2019 tillsynsbegäran mail.docx", "A 41641-2019")</f>
        <v/>
      </c>
      <c r="Z418">
        <f>HYPERLINK("https://klasma.github.io/Logging_2482/fåglar/A 41641-2019 prioriterade fågelarter.docx", "A 41641-2019")</f>
        <v/>
      </c>
    </row>
    <row r="419" ht="15" customHeight="1">
      <c r="A419" t="inlineStr">
        <is>
          <t>A 55329-2019</t>
        </is>
      </c>
      <c r="B419" s="1" t="n">
        <v>43756</v>
      </c>
      <c r="C419" s="1" t="n">
        <v>45788</v>
      </c>
      <c r="D419" t="inlineStr">
        <is>
          <t>VÄSTERBOTTENS LÄN</t>
        </is>
      </c>
      <c r="E419" t="inlineStr">
        <is>
          <t>LYCKSELE</t>
        </is>
      </c>
      <c r="F419" t="inlineStr">
        <is>
          <t>Sveaskog</t>
        </is>
      </c>
      <c r="G419" t="n">
        <v>7.4</v>
      </c>
      <c r="H419" t="n">
        <v>3</v>
      </c>
      <c r="I419" t="n">
        <v>0</v>
      </c>
      <c r="J419" t="n">
        <v>4</v>
      </c>
      <c r="K419" t="n">
        <v>0</v>
      </c>
      <c r="L419" t="n">
        <v>0</v>
      </c>
      <c r="M419" t="n">
        <v>0</v>
      </c>
      <c r="N419" t="n">
        <v>0</v>
      </c>
      <c r="O419" t="n">
        <v>4</v>
      </c>
      <c r="P419" t="n">
        <v>0</v>
      </c>
      <c r="Q419" t="n">
        <v>6</v>
      </c>
      <c r="R419" s="2" t="inlineStr">
        <is>
          <t>Garnlav
Granticka
Spillkråka
Ullticka
Lavskrika
Revlummer</t>
        </is>
      </c>
      <c r="S419">
        <f>HYPERLINK("https://klasma.github.io/Logging_2481/artfynd/A 55329-2019 artfynd.xlsx", "A 55329-2019")</f>
        <v/>
      </c>
      <c r="T419">
        <f>HYPERLINK("https://klasma.github.io/Logging_2481/kartor/A 55329-2019 karta.png", "A 55329-2019")</f>
        <v/>
      </c>
      <c r="V419">
        <f>HYPERLINK("https://klasma.github.io/Logging_2481/klagomål/A 55329-2019 FSC-klagomål.docx", "A 55329-2019")</f>
        <v/>
      </c>
      <c r="W419">
        <f>HYPERLINK("https://klasma.github.io/Logging_2481/klagomålsmail/A 55329-2019 FSC-klagomål mail.docx", "A 55329-2019")</f>
        <v/>
      </c>
      <c r="X419">
        <f>HYPERLINK("https://klasma.github.io/Logging_2481/tillsyn/A 55329-2019 tillsynsbegäran.docx", "A 55329-2019")</f>
        <v/>
      </c>
      <c r="Y419">
        <f>HYPERLINK("https://klasma.github.io/Logging_2481/tillsynsmail/A 55329-2019 tillsynsbegäran mail.docx", "A 55329-2019")</f>
        <v/>
      </c>
      <c r="Z419">
        <f>HYPERLINK("https://klasma.github.io/Logging_2481/fåglar/A 55329-2019 prioriterade fågelarter.docx", "A 55329-2019")</f>
        <v/>
      </c>
    </row>
    <row r="420" ht="15" customHeight="1">
      <c r="A420" t="inlineStr">
        <is>
          <t>A 65561-2019</t>
        </is>
      </c>
      <c r="B420" s="1" t="n">
        <v>43803</v>
      </c>
      <c r="C420" s="1" t="n">
        <v>45788</v>
      </c>
      <c r="D420" t="inlineStr">
        <is>
          <t>VÄSTERBOTTENS LÄN</t>
        </is>
      </c>
      <c r="E420" t="inlineStr">
        <is>
          <t>DOROTEA</t>
        </is>
      </c>
      <c r="F420" t="inlineStr">
        <is>
          <t>SCA</t>
        </is>
      </c>
      <c r="G420" t="n">
        <v>13.1</v>
      </c>
      <c r="H420" t="n">
        <v>1</v>
      </c>
      <c r="I420" t="n">
        <v>0</v>
      </c>
      <c r="J420" t="n">
        <v>6</v>
      </c>
      <c r="K420" t="n">
        <v>0</v>
      </c>
      <c r="L420" t="n">
        <v>0</v>
      </c>
      <c r="M420" t="n">
        <v>0</v>
      </c>
      <c r="N420" t="n">
        <v>0</v>
      </c>
      <c r="O420" t="n">
        <v>6</v>
      </c>
      <c r="P420" t="n">
        <v>0</v>
      </c>
      <c r="Q420" t="n">
        <v>6</v>
      </c>
      <c r="R420" s="2" t="inlineStr">
        <is>
          <t>Granticka
Harticka
Tretåig hackspett
Vedtrappmossa
Vitgrynig nållav
Äggvaxskivling</t>
        </is>
      </c>
      <c r="S420">
        <f>HYPERLINK("https://klasma.github.io/Logging_2425/artfynd/A 65561-2019 artfynd.xlsx", "A 65561-2019")</f>
        <v/>
      </c>
      <c r="T420">
        <f>HYPERLINK("https://klasma.github.io/Logging_2425/kartor/A 65561-2019 karta.png", "A 65561-2019")</f>
        <v/>
      </c>
      <c r="V420">
        <f>HYPERLINK("https://klasma.github.io/Logging_2425/klagomål/A 65561-2019 FSC-klagomål.docx", "A 65561-2019")</f>
        <v/>
      </c>
      <c r="W420">
        <f>HYPERLINK("https://klasma.github.io/Logging_2425/klagomålsmail/A 65561-2019 FSC-klagomål mail.docx", "A 65561-2019")</f>
        <v/>
      </c>
      <c r="X420">
        <f>HYPERLINK("https://klasma.github.io/Logging_2425/tillsyn/A 65561-2019 tillsynsbegäran.docx", "A 65561-2019")</f>
        <v/>
      </c>
      <c r="Y420">
        <f>HYPERLINK("https://klasma.github.io/Logging_2425/tillsynsmail/A 65561-2019 tillsynsbegäran mail.docx", "A 65561-2019")</f>
        <v/>
      </c>
      <c r="Z420">
        <f>HYPERLINK("https://klasma.github.io/Logging_2425/fåglar/A 65561-2019 prioriterade fågelarter.docx", "A 65561-2019")</f>
        <v/>
      </c>
    </row>
    <row r="421" ht="15" customHeight="1">
      <c r="A421" t="inlineStr">
        <is>
          <t>A 10196-2020</t>
        </is>
      </c>
      <c r="B421" s="1" t="n">
        <v>43885</v>
      </c>
      <c r="C421" s="1" t="n">
        <v>45788</v>
      </c>
      <c r="D421" t="inlineStr">
        <is>
          <t>VÄSTERBOTTENS LÄN</t>
        </is>
      </c>
      <c r="E421" t="inlineStr">
        <is>
          <t>NORDMALING</t>
        </is>
      </c>
      <c r="G421" t="n">
        <v>1.5</v>
      </c>
      <c r="H421" t="n">
        <v>0</v>
      </c>
      <c r="I421" t="n">
        <v>1</v>
      </c>
      <c r="J421" t="n">
        <v>5</v>
      </c>
      <c r="K421" t="n">
        <v>0</v>
      </c>
      <c r="L421" t="n">
        <v>0</v>
      </c>
      <c r="M421" t="n">
        <v>0</v>
      </c>
      <c r="N421" t="n">
        <v>0</v>
      </c>
      <c r="O421" t="n">
        <v>5</v>
      </c>
      <c r="P421" t="n">
        <v>0</v>
      </c>
      <c r="Q421" t="n">
        <v>6</v>
      </c>
      <c r="R421" s="2" t="inlineStr">
        <is>
          <t>Garnlav
Lunglav
Stiftgelélav
Violettgrå tagellav
Vitgrynig nållav
Skinnlav</t>
        </is>
      </c>
      <c r="S421">
        <f>HYPERLINK("https://klasma.github.io/Logging_2401/artfynd/A 10196-2020 artfynd.xlsx", "A 10196-2020")</f>
        <v/>
      </c>
      <c r="T421">
        <f>HYPERLINK("https://klasma.github.io/Logging_2401/kartor/A 10196-2020 karta.png", "A 10196-2020")</f>
        <v/>
      </c>
      <c r="V421">
        <f>HYPERLINK("https://klasma.github.io/Logging_2401/klagomål/A 10196-2020 FSC-klagomål.docx", "A 10196-2020")</f>
        <v/>
      </c>
      <c r="W421">
        <f>HYPERLINK("https://klasma.github.io/Logging_2401/klagomålsmail/A 10196-2020 FSC-klagomål mail.docx", "A 10196-2020")</f>
        <v/>
      </c>
      <c r="X421">
        <f>HYPERLINK("https://klasma.github.io/Logging_2401/tillsyn/A 10196-2020 tillsynsbegäran.docx", "A 10196-2020")</f>
        <v/>
      </c>
      <c r="Y421">
        <f>HYPERLINK("https://klasma.github.io/Logging_2401/tillsynsmail/A 10196-2020 tillsynsbegäran mail.docx", "A 10196-2020")</f>
        <v/>
      </c>
    </row>
    <row r="422" ht="15" customHeight="1">
      <c r="A422" t="inlineStr">
        <is>
          <t>A 16606-2020</t>
        </is>
      </c>
      <c r="B422" s="1" t="n">
        <v>43909</v>
      </c>
      <c r="C422" s="1" t="n">
        <v>45788</v>
      </c>
      <c r="D422" t="inlineStr">
        <is>
          <t>VÄSTERBOTTENS LÄN</t>
        </is>
      </c>
      <c r="E422" t="inlineStr">
        <is>
          <t>SORSELE</t>
        </is>
      </c>
      <c r="G422" t="n">
        <v>14.6</v>
      </c>
      <c r="H422" t="n">
        <v>0</v>
      </c>
      <c r="I422" t="n">
        <v>4</v>
      </c>
      <c r="J422" t="n">
        <v>2</v>
      </c>
      <c r="K422" t="n">
        <v>0</v>
      </c>
      <c r="L422" t="n">
        <v>0</v>
      </c>
      <c r="M422" t="n">
        <v>0</v>
      </c>
      <c r="N422" t="n">
        <v>0</v>
      </c>
      <c r="O422" t="n">
        <v>2</v>
      </c>
      <c r="P422" t="n">
        <v>0</v>
      </c>
      <c r="Q422" t="n">
        <v>6</v>
      </c>
      <c r="R422" s="2" t="inlineStr">
        <is>
          <t>Lunglav
Skrovellav
Bårdlav
Dropptaggsvamp
Luddlav
Skinnlav</t>
        </is>
      </c>
      <c r="S422">
        <f>HYPERLINK("https://klasma.github.io/Logging_2422/artfynd/A 16606-2020 artfynd.xlsx", "A 16606-2020")</f>
        <v/>
      </c>
      <c r="T422">
        <f>HYPERLINK("https://klasma.github.io/Logging_2422/kartor/A 16606-2020 karta.png", "A 16606-2020")</f>
        <v/>
      </c>
      <c r="V422">
        <f>HYPERLINK("https://klasma.github.io/Logging_2422/klagomål/A 16606-2020 FSC-klagomål.docx", "A 16606-2020")</f>
        <v/>
      </c>
      <c r="W422">
        <f>HYPERLINK("https://klasma.github.io/Logging_2422/klagomålsmail/A 16606-2020 FSC-klagomål mail.docx", "A 16606-2020")</f>
        <v/>
      </c>
      <c r="X422">
        <f>HYPERLINK("https://klasma.github.io/Logging_2422/tillsyn/A 16606-2020 tillsynsbegäran.docx", "A 16606-2020")</f>
        <v/>
      </c>
      <c r="Y422">
        <f>HYPERLINK("https://klasma.github.io/Logging_2422/tillsynsmail/A 16606-2020 tillsynsbegäran mail.docx", "A 16606-2020")</f>
        <v/>
      </c>
    </row>
    <row r="423" ht="15" customHeight="1">
      <c r="A423" t="inlineStr">
        <is>
          <t>A 43837-2020</t>
        </is>
      </c>
      <c r="B423" s="1" t="n">
        <v>44082</v>
      </c>
      <c r="C423" s="1" t="n">
        <v>45788</v>
      </c>
      <c r="D423" t="inlineStr">
        <is>
          <t>VÄSTERBOTTENS LÄN</t>
        </is>
      </c>
      <c r="E423" t="inlineStr">
        <is>
          <t>ÅSELE</t>
        </is>
      </c>
      <c r="F423" t="inlineStr">
        <is>
          <t>SCA</t>
        </is>
      </c>
      <c r="G423" t="n">
        <v>3.8</v>
      </c>
      <c r="H423" t="n">
        <v>1</v>
      </c>
      <c r="I423" t="n">
        <v>3</v>
      </c>
      <c r="J423" t="n">
        <v>3</v>
      </c>
      <c r="K423" t="n">
        <v>0</v>
      </c>
      <c r="L423" t="n">
        <v>0</v>
      </c>
      <c r="M423" t="n">
        <v>0</v>
      </c>
      <c r="N423" t="n">
        <v>0</v>
      </c>
      <c r="O423" t="n">
        <v>3</v>
      </c>
      <c r="P423" t="n">
        <v>0</v>
      </c>
      <c r="Q423" t="n">
        <v>6</v>
      </c>
      <c r="R423" s="2" t="inlineStr">
        <is>
          <t>Garnlav
Granticka
Tretåig hackspett
Stuplav
Vedticka
Vågbandad barkbock</t>
        </is>
      </c>
      <c r="S423">
        <f>HYPERLINK("https://klasma.github.io/Logging_2463/artfynd/A 43837-2020 artfynd.xlsx", "A 43837-2020")</f>
        <v/>
      </c>
      <c r="T423">
        <f>HYPERLINK("https://klasma.github.io/Logging_2463/kartor/A 43837-2020 karta.png", "A 43837-2020")</f>
        <v/>
      </c>
      <c r="V423">
        <f>HYPERLINK("https://klasma.github.io/Logging_2463/klagomål/A 43837-2020 FSC-klagomål.docx", "A 43837-2020")</f>
        <v/>
      </c>
      <c r="W423">
        <f>HYPERLINK("https://klasma.github.io/Logging_2463/klagomålsmail/A 43837-2020 FSC-klagomål mail.docx", "A 43837-2020")</f>
        <v/>
      </c>
      <c r="X423">
        <f>HYPERLINK("https://klasma.github.io/Logging_2463/tillsyn/A 43837-2020 tillsynsbegäran.docx", "A 43837-2020")</f>
        <v/>
      </c>
      <c r="Y423">
        <f>HYPERLINK("https://klasma.github.io/Logging_2463/tillsynsmail/A 43837-2020 tillsynsbegäran mail.docx", "A 43837-2020")</f>
        <v/>
      </c>
      <c r="Z423">
        <f>HYPERLINK("https://klasma.github.io/Logging_2463/fåglar/A 43837-2020 prioriterade fågelarter.docx", "A 43837-2020")</f>
        <v/>
      </c>
    </row>
    <row r="424" ht="15" customHeight="1">
      <c r="A424" t="inlineStr">
        <is>
          <t>A 49684-2020</t>
        </is>
      </c>
      <c r="B424" s="1" t="n">
        <v>44104</v>
      </c>
      <c r="C424" s="1" t="n">
        <v>45788</v>
      </c>
      <c r="D424" t="inlineStr">
        <is>
          <t>VÄSTERBOTTENS LÄN</t>
        </is>
      </c>
      <c r="E424" t="inlineStr">
        <is>
          <t>DOROTEA</t>
        </is>
      </c>
      <c r="F424" t="inlineStr">
        <is>
          <t>SCA</t>
        </is>
      </c>
      <c r="G424" t="n">
        <v>17.2</v>
      </c>
      <c r="H424" t="n">
        <v>0</v>
      </c>
      <c r="I424" t="n">
        <v>1</v>
      </c>
      <c r="J424" t="n">
        <v>4</v>
      </c>
      <c r="K424" t="n">
        <v>1</v>
      </c>
      <c r="L424" t="n">
        <v>0</v>
      </c>
      <c r="M424" t="n">
        <v>0</v>
      </c>
      <c r="N424" t="n">
        <v>0</v>
      </c>
      <c r="O424" t="n">
        <v>5</v>
      </c>
      <c r="P424" t="n">
        <v>1</v>
      </c>
      <c r="Q424" t="n">
        <v>6</v>
      </c>
      <c r="R424" s="2" t="inlineStr">
        <is>
          <t>Rynkskinn
Gränsticka
Harticka
Stjärntagging
Ullticka
Trådticka</t>
        </is>
      </c>
      <c r="S424">
        <f>HYPERLINK("https://klasma.github.io/Logging_2425/artfynd/A 49684-2020 artfynd.xlsx", "A 49684-2020")</f>
        <v/>
      </c>
      <c r="T424">
        <f>HYPERLINK("https://klasma.github.io/Logging_2425/kartor/A 49684-2020 karta.png", "A 49684-2020")</f>
        <v/>
      </c>
      <c r="V424">
        <f>HYPERLINK("https://klasma.github.io/Logging_2425/klagomål/A 49684-2020 FSC-klagomål.docx", "A 49684-2020")</f>
        <v/>
      </c>
      <c r="W424">
        <f>HYPERLINK("https://klasma.github.io/Logging_2425/klagomålsmail/A 49684-2020 FSC-klagomål mail.docx", "A 49684-2020")</f>
        <v/>
      </c>
      <c r="X424">
        <f>HYPERLINK("https://klasma.github.io/Logging_2425/tillsyn/A 49684-2020 tillsynsbegäran.docx", "A 49684-2020")</f>
        <v/>
      </c>
      <c r="Y424">
        <f>HYPERLINK("https://klasma.github.io/Logging_2425/tillsynsmail/A 49684-2020 tillsynsbegäran mail.docx", "A 49684-2020")</f>
        <v/>
      </c>
    </row>
    <row r="425" ht="15" customHeight="1">
      <c r="A425" t="inlineStr">
        <is>
          <t>A 50012-2020</t>
        </is>
      </c>
      <c r="B425" s="1" t="n">
        <v>44109</v>
      </c>
      <c r="C425" s="1" t="n">
        <v>45788</v>
      </c>
      <c r="D425" t="inlineStr">
        <is>
          <t>VÄSTERBOTTENS LÄN</t>
        </is>
      </c>
      <c r="E425" t="inlineStr">
        <is>
          <t>LYCKSELE</t>
        </is>
      </c>
      <c r="F425" t="inlineStr">
        <is>
          <t>Sveaskog</t>
        </is>
      </c>
      <c r="G425" t="n">
        <v>5.7</v>
      </c>
      <c r="H425" t="n">
        <v>2</v>
      </c>
      <c r="I425" t="n">
        <v>2</v>
      </c>
      <c r="J425" t="n">
        <v>2</v>
      </c>
      <c r="K425" t="n">
        <v>0</v>
      </c>
      <c r="L425" t="n">
        <v>0</v>
      </c>
      <c r="M425" t="n">
        <v>0</v>
      </c>
      <c r="N425" t="n">
        <v>0</v>
      </c>
      <c r="O425" t="n">
        <v>2</v>
      </c>
      <c r="P425" t="n">
        <v>0</v>
      </c>
      <c r="Q425" t="n">
        <v>6</v>
      </c>
      <c r="R425" s="2" t="inlineStr">
        <is>
          <t>Garnlav
Lunglav
Luddlav
Stuplav
Fläcknycklar
Revlummer</t>
        </is>
      </c>
      <c r="S425">
        <f>HYPERLINK("https://klasma.github.io/Logging_2481/artfynd/A 50012-2020 artfynd.xlsx", "A 50012-2020")</f>
        <v/>
      </c>
      <c r="T425">
        <f>HYPERLINK("https://klasma.github.io/Logging_2481/kartor/A 50012-2020 karta.png", "A 50012-2020")</f>
        <v/>
      </c>
      <c r="V425">
        <f>HYPERLINK("https://klasma.github.io/Logging_2481/klagomål/A 50012-2020 FSC-klagomål.docx", "A 50012-2020")</f>
        <v/>
      </c>
      <c r="W425">
        <f>HYPERLINK("https://klasma.github.io/Logging_2481/klagomålsmail/A 50012-2020 FSC-klagomål mail.docx", "A 50012-2020")</f>
        <v/>
      </c>
      <c r="X425">
        <f>HYPERLINK("https://klasma.github.io/Logging_2481/tillsyn/A 50012-2020 tillsynsbegäran.docx", "A 50012-2020")</f>
        <v/>
      </c>
      <c r="Y425">
        <f>HYPERLINK("https://klasma.github.io/Logging_2481/tillsynsmail/A 50012-2020 tillsynsbegäran mail.docx", "A 50012-2020")</f>
        <v/>
      </c>
    </row>
    <row r="426" ht="15" customHeight="1">
      <c r="A426" t="inlineStr">
        <is>
          <t>A 54166-2020</t>
        </is>
      </c>
      <c r="B426" s="1" t="n">
        <v>44125</v>
      </c>
      <c r="C426" s="1" t="n">
        <v>45788</v>
      </c>
      <c r="D426" t="inlineStr">
        <is>
          <t>VÄSTERBOTTENS LÄN</t>
        </is>
      </c>
      <c r="E426" t="inlineStr">
        <is>
          <t>ÅSELE</t>
        </is>
      </c>
      <c r="F426" t="inlineStr">
        <is>
          <t>Sveaskog</t>
        </is>
      </c>
      <c r="G426" t="n">
        <v>11.3</v>
      </c>
      <c r="H426" t="n">
        <v>0</v>
      </c>
      <c r="I426" t="n">
        <v>2</v>
      </c>
      <c r="J426" t="n">
        <v>4</v>
      </c>
      <c r="K426" t="n">
        <v>0</v>
      </c>
      <c r="L426" t="n">
        <v>0</v>
      </c>
      <c r="M426" t="n">
        <v>0</v>
      </c>
      <c r="N426" t="n">
        <v>0</v>
      </c>
      <c r="O426" t="n">
        <v>4</v>
      </c>
      <c r="P426" t="n">
        <v>0</v>
      </c>
      <c r="Q426" t="n">
        <v>6</v>
      </c>
      <c r="R426" s="2" t="inlineStr">
        <is>
          <t>Granticka
Lunglav
Skogshare
Vedtrappmossa
Bollvitmossa
Skinnlav</t>
        </is>
      </c>
      <c r="S426">
        <f>HYPERLINK("https://klasma.github.io/Logging_2463/artfynd/A 54166-2020 artfynd.xlsx", "A 54166-2020")</f>
        <v/>
      </c>
      <c r="T426">
        <f>HYPERLINK("https://klasma.github.io/Logging_2463/kartor/A 54166-2020 karta.png", "A 54166-2020")</f>
        <v/>
      </c>
      <c r="V426">
        <f>HYPERLINK("https://klasma.github.io/Logging_2463/klagomål/A 54166-2020 FSC-klagomål.docx", "A 54166-2020")</f>
        <v/>
      </c>
      <c r="W426">
        <f>HYPERLINK("https://klasma.github.io/Logging_2463/klagomålsmail/A 54166-2020 FSC-klagomål mail.docx", "A 54166-2020")</f>
        <v/>
      </c>
      <c r="X426">
        <f>HYPERLINK("https://klasma.github.io/Logging_2463/tillsyn/A 54166-2020 tillsynsbegäran.docx", "A 54166-2020")</f>
        <v/>
      </c>
      <c r="Y426">
        <f>HYPERLINK("https://klasma.github.io/Logging_2463/tillsynsmail/A 54166-2020 tillsynsbegäran mail.docx", "A 54166-2020")</f>
        <v/>
      </c>
    </row>
    <row r="427" ht="15" customHeight="1">
      <c r="A427" t="inlineStr">
        <is>
          <t>A 55631-2020</t>
        </is>
      </c>
      <c r="B427" s="1" t="n">
        <v>44131</v>
      </c>
      <c r="C427" s="1" t="n">
        <v>45788</v>
      </c>
      <c r="D427" t="inlineStr">
        <is>
          <t>VÄSTERBOTTENS LÄN</t>
        </is>
      </c>
      <c r="E427" t="inlineStr">
        <is>
          <t>SKELLEFTEÅ</t>
        </is>
      </c>
      <c r="F427" t="inlineStr">
        <is>
          <t>Sveaskog</t>
        </is>
      </c>
      <c r="G427" t="n">
        <v>4.3</v>
      </c>
      <c r="H427" t="n">
        <v>0</v>
      </c>
      <c r="I427" t="n">
        <v>1</v>
      </c>
      <c r="J427" t="n">
        <v>5</v>
      </c>
      <c r="K427" t="n">
        <v>0</v>
      </c>
      <c r="L427" t="n">
        <v>0</v>
      </c>
      <c r="M427" t="n">
        <v>0</v>
      </c>
      <c r="N427" t="n">
        <v>0</v>
      </c>
      <c r="O427" t="n">
        <v>5</v>
      </c>
      <c r="P427" t="n">
        <v>0</v>
      </c>
      <c r="Q427" t="n">
        <v>6</v>
      </c>
      <c r="R427" s="2" t="inlineStr">
        <is>
          <t>Garnlav
Granticka
Harticka
Lunglav
Ullticka
Stuplav</t>
        </is>
      </c>
      <c r="S427">
        <f>HYPERLINK("https://klasma.github.io/Logging_2482/artfynd/A 55631-2020 artfynd.xlsx", "A 55631-2020")</f>
        <v/>
      </c>
      <c r="T427">
        <f>HYPERLINK("https://klasma.github.io/Logging_2482/kartor/A 55631-2020 karta.png", "A 55631-2020")</f>
        <v/>
      </c>
      <c r="V427">
        <f>HYPERLINK("https://klasma.github.io/Logging_2482/klagomål/A 55631-2020 FSC-klagomål.docx", "A 55631-2020")</f>
        <v/>
      </c>
      <c r="W427">
        <f>HYPERLINK("https://klasma.github.io/Logging_2482/klagomålsmail/A 55631-2020 FSC-klagomål mail.docx", "A 55631-2020")</f>
        <v/>
      </c>
      <c r="X427">
        <f>HYPERLINK("https://klasma.github.io/Logging_2482/tillsyn/A 55631-2020 tillsynsbegäran.docx", "A 55631-2020")</f>
        <v/>
      </c>
      <c r="Y427">
        <f>HYPERLINK("https://klasma.github.io/Logging_2482/tillsynsmail/A 55631-2020 tillsynsbegäran mail.docx", "A 55631-2020")</f>
        <v/>
      </c>
    </row>
    <row r="428" ht="15" customHeight="1">
      <c r="A428" t="inlineStr">
        <is>
          <t>A 5106-2021</t>
        </is>
      </c>
      <c r="B428" s="1" t="n">
        <v>44228</v>
      </c>
      <c r="C428" s="1" t="n">
        <v>45788</v>
      </c>
      <c r="D428" t="inlineStr">
        <is>
          <t>VÄSTERBOTTENS LÄN</t>
        </is>
      </c>
      <c r="E428" t="inlineStr">
        <is>
          <t>STORUMAN</t>
        </is>
      </c>
      <c r="F428" t="inlineStr">
        <is>
          <t>Sveaskog</t>
        </is>
      </c>
      <c r="G428" t="n">
        <v>15.5</v>
      </c>
      <c r="H428" t="n">
        <v>1</v>
      </c>
      <c r="I428" t="n">
        <v>0</v>
      </c>
      <c r="J428" t="n">
        <v>5</v>
      </c>
      <c r="K428" t="n">
        <v>1</v>
      </c>
      <c r="L428" t="n">
        <v>0</v>
      </c>
      <c r="M428" t="n">
        <v>0</v>
      </c>
      <c r="N428" t="n">
        <v>0</v>
      </c>
      <c r="O428" t="n">
        <v>6</v>
      </c>
      <c r="P428" t="n">
        <v>1</v>
      </c>
      <c r="Q428" t="n">
        <v>6</v>
      </c>
      <c r="R428" s="2" t="inlineStr">
        <is>
          <t>Tallgråticka
Garnlav
Motaggsvamp
Skrovlig taggsvamp
Tallticka
Talltita</t>
        </is>
      </c>
      <c r="S428">
        <f>HYPERLINK("https://klasma.github.io/Logging_2421/artfynd/A 5106-2021 artfynd.xlsx", "A 5106-2021")</f>
        <v/>
      </c>
      <c r="T428">
        <f>HYPERLINK("https://klasma.github.io/Logging_2421/kartor/A 5106-2021 karta.png", "A 5106-2021")</f>
        <v/>
      </c>
      <c r="V428">
        <f>HYPERLINK("https://klasma.github.io/Logging_2421/klagomål/A 5106-2021 FSC-klagomål.docx", "A 5106-2021")</f>
        <v/>
      </c>
      <c r="W428">
        <f>HYPERLINK("https://klasma.github.io/Logging_2421/klagomålsmail/A 5106-2021 FSC-klagomål mail.docx", "A 5106-2021")</f>
        <v/>
      </c>
      <c r="X428">
        <f>HYPERLINK("https://klasma.github.io/Logging_2421/tillsyn/A 5106-2021 tillsynsbegäran.docx", "A 5106-2021")</f>
        <v/>
      </c>
      <c r="Y428">
        <f>HYPERLINK("https://klasma.github.io/Logging_2421/tillsynsmail/A 5106-2021 tillsynsbegäran mail.docx", "A 5106-2021")</f>
        <v/>
      </c>
      <c r="Z428">
        <f>HYPERLINK("https://klasma.github.io/Logging_2421/fåglar/A 5106-2021 prioriterade fågelarter.docx", "A 5106-2021")</f>
        <v/>
      </c>
    </row>
    <row r="429" ht="15" customHeight="1">
      <c r="A429" t="inlineStr">
        <is>
          <t>A 18298-2021</t>
        </is>
      </c>
      <c r="B429" s="1" t="n">
        <v>44305</v>
      </c>
      <c r="C429" s="1" t="n">
        <v>45788</v>
      </c>
      <c r="D429" t="inlineStr">
        <is>
          <t>VÄSTERBOTTENS LÄN</t>
        </is>
      </c>
      <c r="E429" t="inlineStr">
        <is>
          <t>SKELLEFTEÅ</t>
        </is>
      </c>
      <c r="G429" t="n">
        <v>10.7</v>
      </c>
      <c r="H429" t="n">
        <v>1</v>
      </c>
      <c r="I429" t="n">
        <v>2</v>
      </c>
      <c r="J429" t="n">
        <v>4</v>
      </c>
      <c r="K429" t="n">
        <v>0</v>
      </c>
      <c r="L429" t="n">
        <v>0</v>
      </c>
      <c r="M429" t="n">
        <v>0</v>
      </c>
      <c r="N429" t="n">
        <v>0</v>
      </c>
      <c r="O429" t="n">
        <v>4</v>
      </c>
      <c r="P429" t="n">
        <v>0</v>
      </c>
      <c r="Q429" t="n">
        <v>6</v>
      </c>
      <c r="R429" s="2" t="inlineStr">
        <is>
          <t>Granticka
Harticka
Tretåig hackspett
Ullticka
Trådticka
Vedticka</t>
        </is>
      </c>
      <c r="S429">
        <f>HYPERLINK("https://klasma.github.io/Logging_2482/artfynd/A 18298-2021 artfynd.xlsx", "A 18298-2021")</f>
        <v/>
      </c>
      <c r="T429">
        <f>HYPERLINK("https://klasma.github.io/Logging_2482/kartor/A 18298-2021 karta.png", "A 18298-2021")</f>
        <v/>
      </c>
      <c r="V429">
        <f>HYPERLINK("https://klasma.github.io/Logging_2482/klagomål/A 18298-2021 FSC-klagomål.docx", "A 18298-2021")</f>
        <v/>
      </c>
      <c r="W429">
        <f>HYPERLINK("https://klasma.github.io/Logging_2482/klagomålsmail/A 18298-2021 FSC-klagomål mail.docx", "A 18298-2021")</f>
        <v/>
      </c>
      <c r="X429">
        <f>HYPERLINK("https://klasma.github.io/Logging_2482/tillsyn/A 18298-2021 tillsynsbegäran.docx", "A 18298-2021")</f>
        <v/>
      </c>
      <c r="Y429">
        <f>HYPERLINK("https://klasma.github.io/Logging_2482/tillsynsmail/A 18298-2021 tillsynsbegäran mail.docx", "A 18298-2021")</f>
        <v/>
      </c>
      <c r="Z429">
        <f>HYPERLINK("https://klasma.github.io/Logging_2482/fåglar/A 18298-2021 prioriterade fågelarter.docx", "A 18298-2021")</f>
        <v/>
      </c>
    </row>
    <row r="430" ht="15" customHeight="1">
      <c r="A430" t="inlineStr">
        <is>
          <t>A 28523-2021</t>
        </is>
      </c>
      <c r="B430" s="1" t="n">
        <v>44356</v>
      </c>
      <c r="C430" s="1" t="n">
        <v>45788</v>
      </c>
      <c r="D430" t="inlineStr">
        <is>
          <t>VÄSTERBOTTENS LÄN</t>
        </is>
      </c>
      <c r="E430" t="inlineStr">
        <is>
          <t>SKELLEFTEÅ</t>
        </is>
      </c>
      <c r="G430" t="n">
        <v>6.3</v>
      </c>
      <c r="H430" t="n">
        <v>0</v>
      </c>
      <c r="I430" t="n">
        <v>1</v>
      </c>
      <c r="J430" t="n">
        <v>5</v>
      </c>
      <c r="K430" t="n">
        <v>0</v>
      </c>
      <c r="L430" t="n">
        <v>0</v>
      </c>
      <c r="M430" t="n">
        <v>0</v>
      </c>
      <c r="N430" t="n">
        <v>0</v>
      </c>
      <c r="O430" t="n">
        <v>5</v>
      </c>
      <c r="P430" t="n">
        <v>0</v>
      </c>
      <c r="Q430" t="n">
        <v>6</v>
      </c>
      <c r="R430" s="2" t="inlineStr">
        <is>
          <t>Gammelgransskål
Garnlav
Granticka
Stjärntagging
Violettgrå tagellav
Vedticka</t>
        </is>
      </c>
      <c r="S430">
        <f>HYPERLINK("https://klasma.github.io/Logging_2482/artfynd/A 28523-2021 artfynd.xlsx", "A 28523-2021")</f>
        <v/>
      </c>
      <c r="T430">
        <f>HYPERLINK("https://klasma.github.io/Logging_2482/kartor/A 28523-2021 karta.png", "A 28523-2021")</f>
        <v/>
      </c>
      <c r="V430">
        <f>HYPERLINK("https://klasma.github.io/Logging_2482/klagomål/A 28523-2021 FSC-klagomål.docx", "A 28523-2021")</f>
        <v/>
      </c>
      <c r="W430">
        <f>HYPERLINK("https://klasma.github.io/Logging_2482/klagomålsmail/A 28523-2021 FSC-klagomål mail.docx", "A 28523-2021")</f>
        <v/>
      </c>
      <c r="X430">
        <f>HYPERLINK("https://klasma.github.io/Logging_2482/tillsyn/A 28523-2021 tillsynsbegäran.docx", "A 28523-2021")</f>
        <v/>
      </c>
      <c r="Y430">
        <f>HYPERLINK("https://klasma.github.io/Logging_2482/tillsynsmail/A 28523-2021 tillsynsbegäran mail.docx", "A 28523-2021")</f>
        <v/>
      </c>
    </row>
    <row r="431" ht="15" customHeight="1">
      <c r="A431" t="inlineStr">
        <is>
          <t>A 36104-2021</t>
        </is>
      </c>
      <c r="B431" s="1" t="n">
        <v>44386</v>
      </c>
      <c r="C431" s="1" t="n">
        <v>45788</v>
      </c>
      <c r="D431" t="inlineStr">
        <is>
          <t>VÄSTERBOTTENS LÄN</t>
        </is>
      </c>
      <c r="E431" t="inlineStr">
        <is>
          <t>SORSELE</t>
        </is>
      </c>
      <c r="G431" t="n">
        <v>6</v>
      </c>
      <c r="H431" t="n">
        <v>6</v>
      </c>
      <c r="I431" t="n">
        <v>0</v>
      </c>
      <c r="J431" t="n">
        <v>6</v>
      </c>
      <c r="K431" t="n">
        <v>0</v>
      </c>
      <c r="L431" t="n">
        <v>0</v>
      </c>
      <c r="M431" t="n">
        <v>0</v>
      </c>
      <c r="N431" t="n">
        <v>0</v>
      </c>
      <c r="O431" t="n">
        <v>6</v>
      </c>
      <c r="P431" t="n">
        <v>0</v>
      </c>
      <c r="Q431" t="n">
        <v>6</v>
      </c>
      <c r="R431" s="2" t="inlineStr">
        <is>
          <t>Björktrast
Buskskvätta
Järpe
Kungsörn
Lappmes
Rödvingetrast</t>
        </is>
      </c>
      <c r="S431">
        <f>HYPERLINK("https://klasma.github.io/Logging_2422/artfynd/A 36104-2021 artfynd.xlsx", "A 36104-2021")</f>
        <v/>
      </c>
      <c r="T431">
        <f>HYPERLINK("https://klasma.github.io/Logging_2422/kartor/A 36104-2021 karta.png", "A 36104-2021")</f>
        <v/>
      </c>
      <c r="V431">
        <f>HYPERLINK("https://klasma.github.io/Logging_2422/klagomål/A 36104-2021 FSC-klagomål.docx", "A 36104-2021")</f>
        <v/>
      </c>
      <c r="W431">
        <f>HYPERLINK("https://klasma.github.io/Logging_2422/klagomålsmail/A 36104-2021 FSC-klagomål mail.docx", "A 36104-2021")</f>
        <v/>
      </c>
      <c r="X431">
        <f>HYPERLINK("https://klasma.github.io/Logging_2422/tillsyn/A 36104-2021 tillsynsbegäran.docx", "A 36104-2021")</f>
        <v/>
      </c>
      <c r="Y431">
        <f>HYPERLINK("https://klasma.github.io/Logging_2422/tillsynsmail/A 36104-2021 tillsynsbegäran mail.docx", "A 36104-2021")</f>
        <v/>
      </c>
      <c r="Z431">
        <f>HYPERLINK("https://klasma.github.io/Logging_2422/fåglar/A 36104-2021 prioriterade fågelarter.docx", "A 36104-2021")</f>
        <v/>
      </c>
    </row>
    <row r="432" ht="15" customHeight="1">
      <c r="A432" t="inlineStr">
        <is>
          <t>A 42835-2021</t>
        </is>
      </c>
      <c r="B432" s="1" t="n">
        <v>44430</v>
      </c>
      <c r="C432" s="1" t="n">
        <v>45788</v>
      </c>
      <c r="D432" t="inlineStr">
        <is>
          <t>VÄSTERBOTTENS LÄN</t>
        </is>
      </c>
      <c r="E432" t="inlineStr">
        <is>
          <t>STORUMAN</t>
        </is>
      </c>
      <c r="F432" t="inlineStr">
        <is>
          <t>Övriga statliga verk och myndigheter</t>
        </is>
      </c>
      <c r="G432" t="n">
        <v>27.1</v>
      </c>
      <c r="H432" t="n">
        <v>2</v>
      </c>
      <c r="I432" t="n">
        <v>4</v>
      </c>
      <c r="J432" t="n">
        <v>2</v>
      </c>
      <c r="K432" t="n">
        <v>0</v>
      </c>
      <c r="L432" t="n">
        <v>0</v>
      </c>
      <c r="M432" t="n">
        <v>0</v>
      </c>
      <c r="N432" t="n">
        <v>0</v>
      </c>
      <c r="O432" t="n">
        <v>2</v>
      </c>
      <c r="P432" t="n">
        <v>0</v>
      </c>
      <c r="Q432" t="n">
        <v>6</v>
      </c>
      <c r="R432" s="2" t="inlineStr">
        <is>
          <t>Garnlav
Tretåig hackspett
Blodvaxing
Taggbräken
Tibast
Tvåblad</t>
        </is>
      </c>
      <c r="S432">
        <f>HYPERLINK("https://klasma.github.io/Logging_2421/artfynd/A 42835-2021 artfynd.xlsx", "A 42835-2021")</f>
        <v/>
      </c>
      <c r="T432">
        <f>HYPERLINK("https://klasma.github.io/Logging_2421/kartor/A 42835-2021 karta.png", "A 42835-2021")</f>
        <v/>
      </c>
      <c r="V432">
        <f>HYPERLINK("https://klasma.github.io/Logging_2421/klagomål/A 42835-2021 FSC-klagomål.docx", "A 42835-2021")</f>
        <v/>
      </c>
      <c r="W432">
        <f>HYPERLINK("https://klasma.github.io/Logging_2421/klagomålsmail/A 42835-2021 FSC-klagomål mail.docx", "A 42835-2021")</f>
        <v/>
      </c>
      <c r="X432">
        <f>HYPERLINK("https://klasma.github.io/Logging_2421/tillsyn/A 42835-2021 tillsynsbegäran.docx", "A 42835-2021")</f>
        <v/>
      </c>
      <c r="Y432">
        <f>HYPERLINK("https://klasma.github.io/Logging_2421/tillsynsmail/A 42835-2021 tillsynsbegäran mail.docx", "A 42835-2021")</f>
        <v/>
      </c>
      <c r="Z432">
        <f>HYPERLINK("https://klasma.github.io/Logging_2421/fåglar/A 42835-2021 prioriterade fågelarter.docx", "A 42835-2021")</f>
        <v/>
      </c>
    </row>
    <row r="433" ht="15" customHeight="1">
      <c r="A433" t="inlineStr">
        <is>
          <t>A 2451-2022</t>
        </is>
      </c>
      <c r="B433" s="1" t="n">
        <v>44579</v>
      </c>
      <c r="C433" s="1" t="n">
        <v>45788</v>
      </c>
      <c r="D433" t="inlineStr">
        <is>
          <t>VÄSTERBOTTENS LÄN</t>
        </is>
      </c>
      <c r="E433" t="inlineStr">
        <is>
          <t>SKELLEFTEÅ</t>
        </is>
      </c>
      <c r="G433" t="n">
        <v>2.1</v>
      </c>
      <c r="H433" t="n">
        <v>0</v>
      </c>
      <c r="I433" t="n">
        <v>0</v>
      </c>
      <c r="J433" t="n">
        <v>6</v>
      </c>
      <c r="K433" t="n">
        <v>0</v>
      </c>
      <c r="L433" t="n">
        <v>0</v>
      </c>
      <c r="M433" t="n">
        <v>0</v>
      </c>
      <c r="N433" t="n">
        <v>0</v>
      </c>
      <c r="O433" t="n">
        <v>6</v>
      </c>
      <c r="P433" t="n">
        <v>0</v>
      </c>
      <c r="Q433" t="n">
        <v>6</v>
      </c>
      <c r="R433" s="2" t="inlineStr">
        <is>
          <t>Garnlav
Granticka
Nordtagging
Stjärntagging
Ullticka
Violettgrå tagellav</t>
        </is>
      </c>
      <c r="S433">
        <f>HYPERLINK("https://klasma.github.io/Logging_2482/artfynd/A 2451-2022 artfynd.xlsx", "A 2451-2022")</f>
        <v/>
      </c>
      <c r="T433">
        <f>HYPERLINK("https://klasma.github.io/Logging_2482/kartor/A 2451-2022 karta.png", "A 2451-2022")</f>
        <v/>
      </c>
      <c r="V433">
        <f>HYPERLINK("https://klasma.github.io/Logging_2482/klagomål/A 2451-2022 FSC-klagomål.docx", "A 2451-2022")</f>
        <v/>
      </c>
      <c r="W433">
        <f>HYPERLINK("https://klasma.github.io/Logging_2482/klagomålsmail/A 2451-2022 FSC-klagomål mail.docx", "A 2451-2022")</f>
        <v/>
      </c>
      <c r="X433">
        <f>HYPERLINK("https://klasma.github.io/Logging_2482/tillsyn/A 2451-2022 tillsynsbegäran.docx", "A 2451-2022")</f>
        <v/>
      </c>
      <c r="Y433">
        <f>HYPERLINK("https://klasma.github.io/Logging_2482/tillsynsmail/A 2451-2022 tillsynsbegäran mail.docx", "A 2451-2022")</f>
        <v/>
      </c>
    </row>
    <row r="434" ht="15" customHeight="1">
      <c r="A434" t="inlineStr">
        <is>
          <t>A 11586-2022</t>
        </is>
      </c>
      <c r="B434" s="1" t="n">
        <v>44631</v>
      </c>
      <c r="C434" s="1" t="n">
        <v>45788</v>
      </c>
      <c r="D434" t="inlineStr">
        <is>
          <t>VÄSTERBOTTENS LÄN</t>
        </is>
      </c>
      <c r="E434" t="inlineStr">
        <is>
          <t>STORUMAN</t>
        </is>
      </c>
      <c r="G434" t="n">
        <v>8.6</v>
      </c>
      <c r="H434" t="n">
        <v>3</v>
      </c>
      <c r="I434" t="n">
        <v>1</v>
      </c>
      <c r="J434" t="n">
        <v>3</v>
      </c>
      <c r="K434" t="n">
        <v>2</v>
      </c>
      <c r="L434" t="n">
        <v>0</v>
      </c>
      <c r="M434" t="n">
        <v>0</v>
      </c>
      <c r="N434" t="n">
        <v>0</v>
      </c>
      <c r="O434" t="n">
        <v>5</v>
      </c>
      <c r="P434" t="n">
        <v>2</v>
      </c>
      <c r="Q434" t="n">
        <v>6</v>
      </c>
      <c r="R434" s="2" t="inlineStr">
        <is>
          <t>Doftticka
Knärot
Lunglav
Stiftgelélav
Tretåig hackspett
Skinnlav</t>
        </is>
      </c>
      <c r="S434">
        <f>HYPERLINK("https://klasma.github.io/Logging_2421/artfynd/A 11586-2022 artfynd.xlsx", "A 11586-2022")</f>
        <v/>
      </c>
      <c r="T434">
        <f>HYPERLINK("https://klasma.github.io/Logging_2421/kartor/A 11586-2022 karta.png", "A 11586-2022")</f>
        <v/>
      </c>
      <c r="U434">
        <f>HYPERLINK("https://klasma.github.io/Logging_2421/knärot/A 11586-2022 karta knärot.png", "A 11586-2022")</f>
        <v/>
      </c>
      <c r="V434">
        <f>HYPERLINK("https://klasma.github.io/Logging_2421/klagomål/A 11586-2022 FSC-klagomål.docx", "A 11586-2022")</f>
        <v/>
      </c>
      <c r="W434">
        <f>HYPERLINK("https://klasma.github.io/Logging_2421/klagomålsmail/A 11586-2022 FSC-klagomål mail.docx", "A 11586-2022")</f>
        <v/>
      </c>
      <c r="X434">
        <f>HYPERLINK("https://klasma.github.io/Logging_2421/tillsyn/A 11586-2022 tillsynsbegäran.docx", "A 11586-2022")</f>
        <v/>
      </c>
      <c r="Y434">
        <f>HYPERLINK("https://klasma.github.io/Logging_2421/tillsynsmail/A 11586-2022 tillsynsbegäran mail.docx", "A 11586-2022")</f>
        <v/>
      </c>
      <c r="Z434">
        <f>HYPERLINK("https://klasma.github.io/Logging_2421/fåglar/A 11586-2022 prioriterade fågelarter.docx", "A 11586-2022")</f>
        <v/>
      </c>
    </row>
    <row r="435" ht="15" customHeight="1">
      <c r="A435" t="inlineStr">
        <is>
          <t>A 19644-2022</t>
        </is>
      </c>
      <c r="B435" s="1" t="n">
        <v>44694</v>
      </c>
      <c r="C435" s="1" t="n">
        <v>45788</v>
      </c>
      <c r="D435" t="inlineStr">
        <is>
          <t>VÄSTERBOTTENS LÄN</t>
        </is>
      </c>
      <c r="E435" t="inlineStr">
        <is>
          <t>BJURHOLM</t>
        </is>
      </c>
      <c r="F435" t="inlineStr">
        <is>
          <t>Kyrkan</t>
        </is>
      </c>
      <c r="G435" t="n">
        <v>3.1</v>
      </c>
      <c r="H435" t="n">
        <v>2</v>
      </c>
      <c r="I435" t="n">
        <v>2</v>
      </c>
      <c r="J435" t="n">
        <v>3</v>
      </c>
      <c r="K435" t="n">
        <v>0</v>
      </c>
      <c r="L435" t="n">
        <v>0</v>
      </c>
      <c r="M435" t="n">
        <v>0</v>
      </c>
      <c r="N435" t="n">
        <v>0</v>
      </c>
      <c r="O435" t="n">
        <v>3</v>
      </c>
      <c r="P435" t="n">
        <v>0</v>
      </c>
      <c r="Q435" t="n">
        <v>6</v>
      </c>
      <c r="R435" s="2" t="inlineStr">
        <is>
          <t>Granticka
Talltita
Ullticka
Skinnlav
Vedticka
Revlummer</t>
        </is>
      </c>
      <c r="S435">
        <f>HYPERLINK("https://klasma.github.io/Logging_2403/artfynd/A 19644-2022 artfynd.xlsx", "A 19644-2022")</f>
        <v/>
      </c>
      <c r="T435">
        <f>HYPERLINK("https://klasma.github.io/Logging_2403/kartor/A 19644-2022 karta.png", "A 19644-2022")</f>
        <v/>
      </c>
      <c r="V435">
        <f>HYPERLINK("https://klasma.github.io/Logging_2403/klagomål/A 19644-2022 FSC-klagomål.docx", "A 19644-2022")</f>
        <v/>
      </c>
      <c r="W435">
        <f>HYPERLINK("https://klasma.github.io/Logging_2403/klagomålsmail/A 19644-2022 FSC-klagomål mail.docx", "A 19644-2022")</f>
        <v/>
      </c>
      <c r="X435">
        <f>HYPERLINK("https://klasma.github.io/Logging_2403/tillsyn/A 19644-2022 tillsynsbegäran.docx", "A 19644-2022")</f>
        <v/>
      </c>
      <c r="Y435">
        <f>HYPERLINK("https://klasma.github.io/Logging_2403/tillsynsmail/A 19644-2022 tillsynsbegäran mail.docx", "A 19644-2022")</f>
        <v/>
      </c>
      <c r="Z435">
        <f>HYPERLINK("https://klasma.github.io/Logging_2403/fåglar/A 19644-2022 prioriterade fågelarter.docx", "A 19644-2022")</f>
        <v/>
      </c>
    </row>
    <row r="436" ht="15" customHeight="1">
      <c r="A436" t="inlineStr">
        <is>
          <t>A 23008-2022</t>
        </is>
      </c>
      <c r="B436" s="1" t="n">
        <v>44715</v>
      </c>
      <c r="C436" s="1" t="n">
        <v>45788</v>
      </c>
      <c r="D436" t="inlineStr">
        <is>
          <t>VÄSTERBOTTENS LÄN</t>
        </is>
      </c>
      <c r="E436" t="inlineStr">
        <is>
          <t>UMEÅ</t>
        </is>
      </c>
      <c r="G436" t="n">
        <v>2.6</v>
      </c>
      <c r="H436" t="n">
        <v>2</v>
      </c>
      <c r="I436" t="n">
        <v>0</v>
      </c>
      <c r="J436" t="n">
        <v>4</v>
      </c>
      <c r="K436" t="n">
        <v>1</v>
      </c>
      <c r="L436" t="n">
        <v>0</v>
      </c>
      <c r="M436" t="n">
        <v>0</v>
      </c>
      <c r="N436" t="n">
        <v>0</v>
      </c>
      <c r="O436" t="n">
        <v>5</v>
      </c>
      <c r="P436" t="n">
        <v>1</v>
      </c>
      <c r="Q436" t="n">
        <v>6</v>
      </c>
      <c r="R436" s="2" t="inlineStr">
        <is>
          <t>Rynkskinn
Granticka
Leptoporus mollis
Talltita
Ullticka
Revlummer</t>
        </is>
      </c>
      <c r="S436">
        <f>HYPERLINK("https://klasma.github.io/Logging_2480/artfynd/A 23008-2022 artfynd.xlsx", "A 23008-2022")</f>
        <v/>
      </c>
      <c r="T436">
        <f>HYPERLINK("https://klasma.github.io/Logging_2480/kartor/A 23008-2022 karta.png", "A 23008-2022")</f>
        <v/>
      </c>
      <c r="V436">
        <f>HYPERLINK("https://klasma.github.io/Logging_2480/klagomål/A 23008-2022 FSC-klagomål.docx", "A 23008-2022")</f>
        <v/>
      </c>
      <c r="W436">
        <f>HYPERLINK("https://klasma.github.io/Logging_2480/klagomålsmail/A 23008-2022 FSC-klagomål mail.docx", "A 23008-2022")</f>
        <v/>
      </c>
      <c r="X436">
        <f>HYPERLINK("https://klasma.github.io/Logging_2480/tillsyn/A 23008-2022 tillsynsbegäran.docx", "A 23008-2022")</f>
        <v/>
      </c>
      <c r="Y436">
        <f>HYPERLINK("https://klasma.github.io/Logging_2480/tillsynsmail/A 23008-2022 tillsynsbegäran mail.docx", "A 23008-2022")</f>
        <v/>
      </c>
      <c r="Z436">
        <f>HYPERLINK("https://klasma.github.io/Logging_2480/fåglar/A 23008-2022 prioriterade fågelarter.docx", "A 23008-2022")</f>
        <v/>
      </c>
    </row>
    <row r="437" ht="15" customHeight="1">
      <c r="A437" t="inlineStr">
        <is>
          <t>A 31722-2022</t>
        </is>
      </c>
      <c r="B437" s="1" t="n">
        <v>44776</v>
      </c>
      <c r="C437" s="1" t="n">
        <v>45788</v>
      </c>
      <c r="D437" t="inlineStr">
        <is>
          <t>VÄSTERBOTTENS LÄN</t>
        </is>
      </c>
      <c r="E437" t="inlineStr">
        <is>
          <t>LYCKSELE</t>
        </is>
      </c>
      <c r="G437" t="n">
        <v>11.2</v>
      </c>
      <c r="H437" t="n">
        <v>1</v>
      </c>
      <c r="I437" t="n">
        <v>0</v>
      </c>
      <c r="J437" t="n">
        <v>5</v>
      </c>
      <c r="K437" t="n">
        <v>0</v>
      </c>
      <c r="L437" t="n">
        <v>0</v>
      </c>
      <c r="M437" t="n">
        <v>0</v>
      </c>
      <c r="N437" t="n">
        <v>0</v>
      </c>
      <c r="O437" t="n">
        <v>5</v>
      </c>
      <c r="P437" t="n">
        <v>0</v>
      </c>
      <c r="Q437" t="n">
        <v>6</v>
      </c>
      <c r="R437" s="2" t="inlineStr">
        <is>
          <t>Gammelgransskål
Garnlav
Gränsticka
Ullticka
Vitgrynig nållav
Fläcknycklar</t>
        </is>
      </c>
      <c r="S437">
        <f>HYPERLINK("https://klasma.github.io/Logging_2481/artfynd/A 31722-2022 artfynd.xlsx", "A 31722-2022")</f>
        <v/>
      </c>
      <c r="T437">
        <f>HYPERLINK("https://klasma.github.io/Logging_2481/kartor/A 31722-2022 karta.png", "A 31722-2022")</f>
        <v/>
      </c>
      <c r="V437">
        <f>HYPERLINK("https://klasma.github.io/Logging_2481/klagomål/A 31722-2022 FSC-klagomål.docx", "A 31722-2022")</f>
        <v/>
      </c>
      <c r="W437">
        <f>HYPERLINK("https://klasma.github.io/Logging_2481/klagomålsmail/A 31722-2022 FSC-klagomål mail.docx", "A 31722-2022")</f>
        <v/>
      </c>
      <c r="X437">
        <f>HYPERLINK("https://klasma.github.io/Logging_2481/tillsyn/A 31722-2022 tillsynsbegäran.docx", "A 31722-2022")</f>
        <v/>
      </c>
      <c r="Y437">
        <f>HYPERLINK("https://klasma.github.io/Logging_2481/tillsynsmail/A 31722-2022 tillsynsbegäran mail.docx", "A 31722-2022")</f>
        <v/>
      </c>
    </row>
    <row r="438" ht="15" customHeight="1">
      <c r="A438" t="inlineStr">
        <is>
          <t>A 50916-2022</t>
        </is>
      </c>
      <c r="B438" s="1" t="n">
        <v>44865</v>
      </c>
      <c r="C438" s="1" t="n">
        <v>45788</v>
      </c>
      <c r="D438" t="inlineStr">
        <is>
          <t>VÄSTERBOTTENS LÄN</t>
        </is>
      </c>
      <c r="E438" t="inlineStr">
        <is>
          <t>SORSELE</t>
        </is>
      </c>
      <c r="G438" t="n">
        <v>4.1</v>
      </c>
      <c r="H438" t="n">
        <v>1</v>
      </c>
      <c r="I438" t="n">
        <v>0</v>
      </c>
      <c r="J438" t="n">
        <v>6</v>
      </c>
      <c r="K438" t="n">
        <v>0</v>
      </c>
      <c r="L438" t="n">
        <v>0</v>
      </c>
      <c r="M438" t="n">
        <v>0</v>
      </c>
      <c r="N438" t="n">
        <v>0</v>
      </c>
      <c r="O438" t="n">
        <v>6</v>
      </c>
      <c r="P438" t="n">
        <v>0</v>
      </c>
      <c r="Q438" t="n">
        <v>6</v>
      </c>
      <c r="R438" s="2" t="inlineStr">
        <is>
          <t>Garnlav
Granticka
Harticka
Rosenticka
Tretåig hackspett
Ullticka</t>
        </is>
      </c>
      <c r="S438">
        <f>HYPERLINK("https://klasma.github.io/Logging_2422/artfynd/A 50916-2022 artfynd.xlsx", "A 50916-2022")</f>
        <v/>
      </c>
      <c r="T438">
        <f>HYPERLINK("https://klasma.github.io/Logging_2422/kartor/A 50916-2022 karta.png", "A 50916-2022")</f>
        <v/>
      </c>
      <c r="V438">
        <f>HYPERLINK("https://klasma.github.io/Logging_2422/klagomål/A 50916-2022 FSC-klagomål.docx", "A 50916-2022")</f>
        <v/>
      </c>
      <c r="W438">
        <f>HYPERLINK("https://klasma.github.io/Logging_2422/klagomålsmail/A 50916-2022 FSC-klagomål mail.docx", "A 50916-2022")</f>
        <v/>
      </c>
      <c r="X438">
        <f>HYPERLINK("https://klasma.github.io/Logging_2422/tillsyn/A 50916-2022 tillsynsbegäran.docx", "A 50916-2022")</f>
        <v/>
      </c>
      <c r="Y438">
        <f>HYPERLINK("https://klasma.github.io/Logging_2422/tillsynsmail/A 50916-2022 tillsynsbegäran mail.docx", "A 50916-2022")</f>
        <v/>
      </c>
      <c r="Z438">
        <f>HYPERLINK("https://klasma.github.io/Logging_2422/fåglar/A 50916-2022 prioriterade fågelarter.docx", "A 50916-2022")</f>
        <v/>
      </c>
    </row>
    <row r="439" ht="15" customHeight="1">
      <c r="A439" t="inlineStr">
        <is>
          <t>A 50969-2022</t>
        </is>
      </c>
      <c r="B439" s="1" t="n">
        <v>44867</v>
      </c>
      <c r="C439" s="1" t="n">
        <v>45788</v>
      </c>
      <c r="D439" t="inlineStr">
        <is>
          <t>VÄSTERBOTTENS LÄN</t>
        </is>
      </c>
      <c r="E439" t="inlineStr">
        <is>
          <t>UMEÅ</t>
        </is>
      </c>
      <c r="G439" t="n">
        <v>3.5</v>
      </c>
      <c r="H439" t="n">
        <v>0</v>
      </c>
      <c r="I439" t="n">
        <v>1</v>
      </c>
      <c r="J439" t="n">
        <v>4</v>
      </c>
      <c r="K439" t="n">
        <v>1</v>
      </c>
      <c r="L439" t="n">
        <v>0</v>
      </c>
      <c r="M439" t="n">
        <v>0</v>
      </c>
      <c r="N439" t="n">
        <v>0</v>
      </c>
      <c r="O439" t="n">
        <v>5</v>
      </c>
      <c r="P439" t="n">
        <v>1</v>
      </c>
      <c r="Q439" t="n">
        <v>6</v>
      </c>
      <c r="R439" s="2" t="inlineStr">
        <is>
          <t>Goliatmusseron
Motaggsvamp
Orange taggsvamp
Vedskivlav
Vitplätt
Dropptaggsvamp</t>
        </is>
      </c>
      <c r="S439">
        <f>HYPERLINK("https://klasma.github.io/Logging_2480/artfynd/A 50969-2022 artfynd.xlsx", "A 50969-2022")</f>
        <v/>
      </c>
      <c r="T439">
        <f>HYPERLINK("https://klasma.github.io/Logging_2480/kartor/A 50969-2022 karta.png", "A 50969-2022")</f>
        <v/>
      </c>
      <c r="V439">
        <f>HYPERLINK("https://klasma.github.io/Logging_2480/klagomål/A 50969-2022 FSC-klagomål.docx", "A 50969-2022")</f>
        <v/>
      </c>
      <c r="W439">
        <f>HYPERLINK("https://klasma.github.io/Logging_2480/klagomålsmail/A 50969-2022 FSC-klagomål mail.docx", "A 50969-2022")</f>
        <v/>
      </c>
      <c r="X439">
        <f>HYPERLINK("https://klasma.github.io/Logging_2480/tillsyn/A 50969-2022 tillsynsbegäran.docx", "A 50969-2022")</f>
        <v/>
      </c>
      <c r="Y439">
        <f>HYPERLINK("https://klasma.github.io/Logging_2480/tillsynsmail/A 50969-2022 tillsynsbegäran mail.docx", "A 50969-2022")</f>
        <v/>
      </c>
    </row>
    <row r="440" ht="15" customHeight="1">
      <c r="A440" t="inlineStr">
        <is>
          <t>A 902-2023</t>
        </is>
      </c>
      <c r="B440" s="1" t="n">
        <v>44931</v>
      </c>
      <c r="C440" s="1" t="n">
        <v>45788</v>
      </c>
      <c r="D440" t="inlineStr">
        <is>
          <t>VÄSTERBOTTENS LÄN</t>
        </is>
      </c>
      <c r="E440" t="inlineStr">
        <is>
          <t>SKELLEFTEÅ</t>
        </is>
      </c>
      <c r="G440" t="n">
        <v>7.4</v>
      </c>
      <c r="H440" t="n">
        <v>2</v>
      </c>
      <c r="I440" t="n">
        <v>1</v>
      </c>
      <c r="J440" t="n">
        <v>3</v>
      </c>
      <c r="K440" t="n">
        <v>0</v>
      </c>
      <c r="L440" t="n">
        <v>0</v>
      </c>
      <c r="M440" t="n">
        <v>0</v>
      </c>
      <c r="N440" t="n">
        <v>0</v>
      </c>
      <c r="O440" t="n">
        <v>3</v>
      </c>
      <c r="P440" t="n">
        <v>0</v>
      </c>
      <c r="Q440" t="n">
        <v>6</v>
      </c>
      <c r="R440" s="2" t="inlineStr">
        <is>
          <t>Garnlav
Granticka
Lunglav
Luddlav
Orre
Tjäder</t>
        </is>
      </c>
      <c r="S440">
        <f>HYPERLINK("https://klasma.github.io/Logging_2482/artfynd/A 902-2023 artfynd.xlsx", "A 902-2023")</f>
        <v/>
      </c>
      <c r="T440">
        <f>HYPERLINK("https://klasma.github.io/Logging_2482/kartor/A 902-2023 karta.png", "A 902-2023")</f>
        <v/>
      </c>
      <c r="V440">
        <f>HYPERLINK("https://klasma.github.io/Logging_2482/klagomål/A 902-2023 FSC-klagomål.docx", "A 902-2023")</f>
        <v/>
      </c>
      <c r="W440">
        <f>HYPERLINK("https://klasma.github.io/Logging_2482/klagomålsmail/A 902-2023 FSC-klagomål mail.docx", "A 902-2023")</f>
        <v/>
      </c>
      <c r="X440">
        <f>HYPERLINK("https://klasma.github.io/Logging_2482/tillsyn/A 902-2023 tillsynsbegäran.docx", "A 902-2023")</f>
        <v/>
      </c>
      <c r="Y440">
        <f>HYPERLINK("https://klasma.github.io/Logging_2482/tillsynsmail/A 902-2023 tillsynsbegäran mail.docx", "A 902-2023")</f>
        <v/>
      </c>
      <c r="Z440">
        <f>HYPERLINK("https://klasma.github.io/Logging_2482/fåglar/A 902-2023 prioriterade fågelarter.docx", "A 902-2023")</f>
        <v/>
      </c>
    </row>
    <row r="441" ht="15" customHeight="1">
      <c r="A441" t="inlineStr">
        <is>
          <t>A 11189-2023</t>
        </is>
      </c>
      <c r="B441" s="1" t="n">
        <v>44987</v>
      </c>
      <c r="C441" s="1" t="n">
        <v>45788</v>
      </c>
      <c r="D441" t="inlineStr">
        <is>
          <t>VÄSTERBOTTENS LÄN</t>
        </is>
      </c>
      <c r="E441" t="inlineStr">
        <is>
          <t>LYCKSELE</t>
        </is>
      </c>
      <c r="G441" t="n">
        <v>1.3</v>
      </c>
      <c r="H441" t="n">
        <v>2</v>
      </c>
      <c r="I441" t="n">
        <v>2</v>
      </c>
      <c r="J441" t="n">
        <v>4</v>
      </c>
      <c r="K441" t="n">
        <v>0</v>
      </c>
      <c r="L441" t="n">
        <v>0</v>
      </c>
      <c r="M441" t="n">
        <v>0</v>
      </c>
      <c r="N441" t="n">
        <v>0</v>
      </c>
      <c r="O441" t="n">
        <v>4</v>
      </c>
      <c r="P441" t="n">
        <v>0</v>
      </c>
      <c r="Q441" t="n">
        <v>6</v>
      </c>
      <c r="R441" s="2" t="inlineStr">
        <is>
          <t>Gammelgransskål
Spillkråka
Svart taggsvamp
Vitgrynig nållav
Dropptaggsvamp
Plattlummer</t>
        </is>
      </c>
      <c r="S441">
        <f>HYPERLINK("https://klasma.github.io/Logging_2481/artfynd/A 11189-2023 artfynd.xlsx", "A 11189-2023")</f>
        <v/>
      </c>
      <c r="T441">
        <f>HYPERLINK("https://klasma.github.io/Logging_2481/kartor/A 11189-2023 karta.png", "A 11189-2023")</f>
        <v/>
      </c>
      <c r="V441">
        <f>HYPERLINK("https://klasma.github.io/Logging_2481/klagomål/A 11189-2023 FSC-klagomål.docx", "A 11189-2023")</f>
        <v/>
      </c>
      <c r="W441">
        <f>HYPERLINK("https://klasma.github.io/Logging_2481/klagomålsmail/A 11189-2023 FSC-klagomål mail.docx", "A 11189-2023")</f>
        <v/>
      </c>
      <c r="X441">
        <f>HYPERLINK("https://klasma.github.io/Logging_2481/tillsyn/A 11189-2023 tillsynsbegäran.docx", "A 11189-2023")</f>
        <v/>
      </c>
      <c r="Y441">
        <f>HYPERLINK("https://klasma.github.io/Logging_2481/tillsynsmail/A 11189-2023 tillsynsbegäran mail.docx", "A 11189-2023")</f>
        <v/>
      </c>
      <c r="Z441">
        <f>HYPERLINK("https://klasma.github.io/Logging_2481/fåglar/A 11189-2023 prioriterade fågelarter.docx", "A 11189-2023")</f>
        <v/>
      </c>
    </row>
    <row r="442" ht="15" customHeight="1">
      <c r="A442" t="inlineStr">
        <is>
          <t>A 14108-2023</t>
        </is>
      </c>
      <c r="B442" s="1" t="n">
        <v>45009</v>
      </c>
      <c r="C442" s="1" t="n">
        <v>45788</v>
      </c>
      <c r="D442" t="inlineStr">
        <is>
          <t>VÄSTERBOTTENS LÄN</t>
        </is>
      </c>
      <c r="E442" t="inlineStr">
        <is>
          <t>BJURHOLM</t>
        </is>
      </c>
      <c r="G442" t="n">
        <v>4.4</v>
      </c>
      <c r="H442" t="n">
        <v>1</v>
      </c>
      <c r="I442" t="n">
        <v>2</v>
      </c>
      <c r="J442" t="n">
        <v>2</v>
      </c>
      <c r="K442" t="n">
        <v>2</v>
      </c>
      <c r="L442" t="n">
        <v>0</v>
      </c>
      <c r="M442" t="n">
        <v>0</v>
      </c>
      <c r="N442" t="n">
        <v>0</v>
      </c>
      <c r="O442" t="n">
        <v>4</v>
      </c>
      <c r="P442" t="n">
        <v>2</v>
      </c>
      <c r="Q442" t="n">
        <v>6</v>
      </c>
      <c r="R442" s="2" t="inlineStr">
        <is>
          <t>Knärot
Rynkskinn
Garnlav
Rosenticka
Bronshjon
Vedticka</t>
        </is>
      </c>
      <c r="S442">
        <f>HYPERLINK("https://klasma.github.io/Logging_2403/artfynd/A 14108-2023 artfynd.xlsx", "A 14108-2023")</f>
        <v/>
      </c>
      <c r="T442">
        <f>HYPERLINK("https://klasma.github.io/Logging_2403/kartor/A 14108-2023 karta.png", "A 14108-2023")</f>
        <v/>
      </c>
      <c r="U442">
        <f>HYPERLINK("https://klasma.github.io/Logging_2403/knärot/A 14108-2023 karta knärot.png", "A 14108-2023")</f>
        <v/>
      </c>
      <c r="V442">
        <f>HYPERLINK("https://klasma.github.io/Logging_2403/klagomål/A 14108-2023 FSC-klagomål.docx", "A 14108-2023")</f>
        <v/>
      </c>
      <c r="W442">
        <f>HYPERLINK("https://klasma.github.io/Logging_2403/klagomålsmail/A 14108-2023 FSC-klagomål mail.docx", "A 14108-2023")</f>
        <v/>
      </c>
      <c r="X442">
        <f>HYPERLINK("https://klasma.github.io/Logging_2403/tillsyn/A 14108-2023 tillsynsbegäran.docx", "A 14108-2023")</f>
        <v/>
      </c>
      <c r="Y442">
        <f>HYPERLINK("https://klasma.github.io/Logging_2403/tillsynsmail/A 14108-2023 tillsynsbegäran mail.docx", "A 14108-2023")</f>
        <v/>
      </c>
    </row>
    <row r="443" ht="15" customHeight="1">
      <c r="A443" t="inlineStr">
        <is>
          <t>A 14927-2023</t>
        </is>
      </c>
      <c r="B443" s="1" t="n">
        <v>45014</v>
      </c>
      <c r="C443" s="1" t="n">
        <v>45788</v>
      </c>
      <c r="D443" t="inlineStr">
        <is>
          <t>VÄSTERBOTTENS LÄN</t>
        </is>
      </c>
      <c r="E443" t="inlineStr">
        <is>
          <t>UMEÅ</t>
        </is>
      </c>
      <c r="F443" t="inlineStr">
        <is>
          <t>Kommuner</t>
        </is>
      </c>
      <c r="G443" t="n">
        <v>6.3</v>
      </c>
      <c r="H443" t="n">
        <v>3</v>
      </c>
      <c r="I443" t="n">
        <v>2</v>
      </c>
      <c r="J443" t="n">
        <v>3</v>
      </c>
      <c r="K443" t="n">
        <v>0</v>
      </c>
      <c r="L443" t="n">
        <v>0</v>
      </c>
      <c r="M443" t="n">
        <v>0</v>
      </c>
      <c r="N443" t="n">
        <v>0</v>
      </c>
      <c r="O443" t="n">
        <v>3</v>
      </c>
      <c r="P443" t="n">
        <v>0</v>
      </c>
      <c r="Q443" t="n">
        <v>6</v>
      </c>
      <c r="R443" s="2" t="inlineStr">
        <is>
          <t>Motaggsvamp
Spillkråka
Talltita
Dropptaggsvamp
Vedticka
Tjäder</t>
        </is>
      </c>
      <c r="S443">
        <f>HYPERLINK("https://klasma.github.io/Logging_2480/artfynd/A 14927-2023 artfynd.xlsx", "A 14927-2023")</f>
        <v/>
      </c>
      <c r="T443">
        <f>HYPERLINK("https://klasma.github.io/Logging_2480/kartor/A 14927-2023 karta.png", "A 14927-2023")</f>
        <v/>
      </c>
      <c r="V443">
        <f>HYPERLINK("https://klasma.github.io/Logging_2480/klagomål/A 14927-2023 FSC-klagomål.docx", "A 14927-2023")</f>
        <v/>
      </c>
      <c r="W443">
        <f>HYPERLINK("https://klasma.github.io/Logging_2480/klagomålsmail/A 14927-2023 FSC-klagomål mail.docx", "A 14927-2023")</f>
        <v/>
      </c>
      <c r="X443">
        <f>HYPERLINK("https://klasma.github.io/Logging_2480/tillsyn/A 14927-2023 tillsynsbegäran.docx", "A 14927-2023")</f>
        <v/>
      </c>
      <c r="Y443">
        <f>HYPERLINK("https://klasma.github.io/Logging_2480/tillsynsmail/A 14927-2023 tillsynsbegäran mail.docx", "A 14927-2023")</f>
        <v/>
      </c>
      <c r="Z443">
        <f>HYPERLINK("https://klasma.github.io/Logging_2480/fåglar/A 14927-2023 prioriterade fågelarter.docx", "A 14927-2023")</f>
        <v/>
      </c>
    </row>
    <row r="444" ht="15" customHeight="1">
      <c r="A444" t="inlineStr">
        <is>
          <t>A 30946-2023</t>
        </is>
      </c>
      <c r="B444" s="1" t="n">
        <v>45113</v>
      </c>
      <c r="C444" s="1" t="n">
        <v>45788</v>
      </c>
      <c r="D444" t="inlineStr">
        <is>
          <t>VÄSTERBOTTENS LÄN</t>
        </is>
      </c>
      <c r="E444" t="inlineStr">
        <is>
          <t>ÅSELE</t>
        </is>
      </c>
      <c r="F444" t="inlineStr">
        <is>
          <t>Sveaskog</t>
        </is>
      </c>
      <c r="G444" t="n">
        <v>19.7</v>
      </c>
      <c r="H444" t="n">
        <v>2</v>
      </c>
      <c r="I444" t="n">
        <v>1</v>
      </c>
      <c r="J444" t="n">
        <v>5</v>
      </c>
      <c r="K444" t="n">
        <v>0</v>
      </c>
      <c r="L444" t="n">
        <v>0</v>
      </c>
      <c r="M444" t="n">
        <v>0</v>
      </c>
      <c r="N444" t="n">
        <v>0</v>
      </c>
      <c r="O444" t="n">
        <v>5</v>
      </c>
      <c r="P444" t="n">
        <v>0</v>
      </c>
      <c r="Q444" t="n">
        <v>6</v>
      </c>
      <c r="R444" s="2" t="inlineStr">
        <is>
          <t>Garnlav
Granticka
Lunglav
Talltita
Tretåig hackspett
Stuplav</t>
        </is>
      </c>
      <c r="S444">
        <f>HYPERLINK("https://klasma.github.io/Logging_2463/artfynd/A 30946-2023 artfynd.xlsx", "A 30946-2023")</f>
        <v/>
      </c>
      <c r="T444">
        <f>HYPERLINK("https://klasma.github.io/Logging_2463/kartor/A 30946-2023 karta.png", "A 30946-2023")</f>
        <v/>
      </c>
      <c r="V444">
        <f>HYPERLINK("https://klasma.github.io/Logging_2463/klagomål/A 30946-2023 FSC-klagomål.docx", "A 30946-2023")</f>
        <v/>
      </c>
      <c r="W444">
        <f>HYPERLINK("https://klasma.github.io/Logging_2463/klagomålsmail/A 30946-2023 FSC-klagomål mail.docx", "A 30946-2023")</f>
        <v/>
      </c>
      <c r="X444">
        <f>HYPERLINK("https://klasma.github.io/Logging_2463/tillsyn/A 30946-2023 tillsynsbegäran.docx", "A 30946-2023")</f>
        <v/>
      </c>
      <c r="Y444">
        <f>HYPERLINK("https://klasma.github.io/Logging_2463/tillsynsmail/A 30946-2023 tillsynsbegäran mail.docx", "A 30946-2023")</f>
        <v/>
      </c>
      <c r="Z444">
        <f>HYPERLINK("https://klasma.github.io/Logging_2463/fåglar/A 30946-2023 prioriterade fågelarter.docx", "A 30946-2023")</f>
        <v/>
      </c>
    </row>
    <row r="445" ht="15" customHeight="1">
      <c r="A445" t="inlineStr">
        <is>
          <t>A 33659-2023</t>
        </is>
      </c>
      <c r="B445" s="1" t="n">
        <v>45119</v>
      </c>
      <c r="C445" s="1" t="n">
        <v>45788</v>
      </c>
      <c r="D445" t="inlineStr">
        <is>
          <t>VÄSTERBOTTENS LÄN</t>
        </is>
      </c>
      <c r="E445" t="inlineStr">
        <is>
          <t>DOROTEA</t>
        </is>
      </c>
      <c r="F445" t="inlineStr">
        <is>
          <t>Allmännings- och besparingsskogar</t>
        </is>
      </c>
      <c r="G445" t="n">
        <v>21.1</v>
      </c>
      <c r="H445" t="n">
        <v>1</v>
      </c>
      <c r="I445" t="n">
        <v>1</v>
      </c>
      <c r="J445" t="n">
        <v>5</v>
      </c>
      <c r="K445" t="n">
        <v>0</v>
      </c>
      <c r="L445" t="n">
        <v>0</v>
      </c>
      <c r="M445" t="n">
        <v>0</v>
      </c>
      <c r="N445" t="n">
        <v>0</v>
      </c>
      <c r="O445" t="n">
        <v>5</v>
      </c>
      <c r="P445" t="n">
        <v>0</v>
      </c>
      <c r="Q445" t="n">
        <v>6</v>
      </c>
      <c r="R445" s="2" t="inlineStr">
        <is>
          <t>Garnlav
Granticka
Harticka
Stjärntagging
Tretåig hackspett
Trådticka</t>
        </is>
      </c>
      <c r="S445">
        <f>HYPERLINK("https://klasma.github.io/Logging_2425/artfynd/A 33659-2023 artfynd.xlsx", "A 33659-2023")</f>
        <v/>
      </c>
      <c r="T445">
        <f>HYPERLINK("https://klasma.github.io/Logging_2425/kartor/A 33659-2023 karta.png", "A 33659-2023")</f>
        <v/>
      </c>
      <c r="V445">
        <f>HYPERLINK("https://klasma.github.io/Logging_2425/klagomål/A 33659-2023 FSC-klagomål.docx", "A 33659-2023")</f>
        <v/>
      </c>
      <c r="W445">
        <f>HYPERLINK("https://klasma.github.io/Logging_2425/klagomålsmail/A 33659-2023 FSC-klagomål mail.docx", "A 33659-2023")</f>
        <v/>
      </c>
      <c r="X445">
        <f>HYPERLINK("https://klasma.github.io/Logging_2425/tillsyn/A 33659-2023 tillsynsbegäran.docx", "A 33659-2023")</f>
        <v/>
      </c>
      <c r="Y445">
        <f>HYPERLINK("https://klasma.github.io/Logging_2425/tillsynsmail/A 33659-2023 tillsynsbegäran mail.docx", "A 33659-2023")</f>
        <v/>
      </c>
      <c r="Z445">
        <f>HYPERLINK("https://klasma.github.io/Logging_2425/fåglar/A 33659-2023 prioriterade fågelarter.docx", "A 33659-2023")</f>
        <v/>
      </c>
    </row>
    <row r="446" ht="15" customHeight="1">
      <c r="A446" t="inlineStr">
        <is>
          <t>A 36140-2023</t>
        </is>
      </c>
      <c r="B446" s="1" t="n">
        <v>45149</v>
      </c>
      <c r="C446" s="1" t="n">
        <v>45788</v>
      </c>
      <c r="D446" t="inlineStr">
        <is>
          <t>VÄSTERBOTTENS LÄN</t>
        </is>
      </c>
      <c r="E446" t="inlineStr">
        <is>
          <t>SKELLEFTEÅ</t>
        </is>
      </c>
      <c r="F446" t="inlineStr">
        <is>
          <t>Holmen skog AB</t>
        </is>
      </c>
      <c r="G446" t="n">
        <v>3.5</v>
      </c>
      <c r="H446" t="n">
        <v>3</v>
      </c>
      <c r="I446" t="n">
        <v>0</v>
      </c>
      <c r="J446" t="n">
        <v>6</v>
      </c>
      <c r="K446" t="n">
        <v>0</v>
      </c>
      <c r="L446" t="n">
        <v>0</v>
      </c>
      <c r="M446" t="n">
        <v>0</v>
      </c>
      <c r="N446" t="n">
        <v>0</v>
      </c>
      <c r="O446" t="n">
        <v>6</v>
      </c>
      <c r="P446" t="n">
        <v>0</v>
      </c>
      <c r="Q446" t="n">
        <v>6</v>
      </c>
      <c r="R446" s="2" t="inlineStr">
        <is>
          <t>Garnlav
Järpe
Lunglav
Spillkråka
Tretåig hackspett
Ullticka</t>
        </is>
      </c>
      <c r="S446">
        <f>HYPERLINK("https://klasma.github.io/Logging_2482/artfynd/A 36140-2023 artfynd.xlsx", "A 36140-2023")</f>
        <v/>
      </c>
      <c r="T446">
        <f>HYPERLINK("https://klasma.github.io/Logging_2482/kartor/A 36140-2023 karta.png", "A 36140-2023")</f>
        <v/>
      </c>
      <c r="V446">
        <f>HYPERLINK("https://klasma.github.io/Logging_2482/klagomål/A 36140-2023 FSC-klagomål.docx", "A 36140-2023")</f>
        <v/>
      </c>
      <c r="W446">
        <f>HYPERLINK("https://klasma.github.io/Logging_2482/klagomålsmail/A 36140-2023 FSC-klagomål mail.docx", "A 36140-2023")</f>
        <v/>
      </c>
      <c r="X446">
        <f>HYPERLINK("https://klasma.github.io/Logging_2482/tillsyn/A 36140-2023 tillsynsbegäran.docx", "A 36140-2023")</f>
        <v/>
      </c>
      <c r="Y446">
        <f>HYPERLINK("https://klasma.github.io/Logging_2482/tillsynsmail/A 36140-2023 tillsynsbegäran mail.docx", "A 36140-2023")</f>
        <v/>
      </c>
      <c r="Z446">
        <f>HYPERLINK("https://klasma.github.io/Logging_2482/fåglar/A 36140-2023 prioriterade fågelarter.docx", "A 36140-2023")</f>
        <v/>
      </c>
    </row>
    <row r="447" ht="15" customHeight="1">
      <c r="A447" t="inlineStr">
        <is>
          <t>A 37141-2023</t>
        </is>
      </c>
      <c r="B447" s="1" t="n">
        <v>45154</v>
      </c>
      <c r="C447" s="1" t="n">
        <v>45788</v>
      </c>
      <c r="D447" t="inlineStr">
        <is>
          <t>VÄSTERBOTTENS LÄN</t>
        </is>
      </c>
      <c r="E447" t="inlineStr">
        <is>
          <t>NORDMALING</t>
        </is>
      </c>
      <c r="G447" t="n">
        <v>6.2</v>
      </c>
      <c r="H447" t="n">
        <v>0</v>
      </c>
      <c r="I447" t="n">
        <v>1</v>
      </c>
      <c r="J447" t="n">
        <v>4</v>
      </c>
      <c r="K447" t="n">
        <v>1</v>
      </c>
      <c r="L447" t="n">
        <v>0</v>
      </c>
      <c r="M447" t="n">
        <v>0</v>
      </c>
      <c r="N447" t="n">
        <v>0</v>
      </c>
      <c r="O447" t="n">
        <v>5</v>
      </c>
      <c r="P447" t="n">
        <v>1</v>
      </c>
      <c r="Q447" t="n">
        <v>6</v>
      </c>
      <c r="R447" s="2" t="inlineStr">
        <is>
          <t>Goliatmusseron
Blå taggsvamp
Garnlav
Motaggsvamp
Orange taggsvamp
Dropptaggsvamp</t>
        </is>
      </c>
      <c r="S447">
        <f>HYPERLINK("https://klasma.github.io/Logging_2401/artfynd/A 37141-2023 artfynd.xlsx", "A 37141-2023")</f>
        <v/>
      </c>
      <c r="T447">
        <f>HYPERLINK("https://klasma.github.io/Logging_2401/kartor/A 37141-2023 karta.png", "A 37141-2023")</f>
        <v/>
      </c>
      <c r="V447">
        <f>HYPERLINK("https://klasma.github.io/Logging_2401/klagomål/A 37141-2023 FSC-klagomål.docx", "A 37141-2023")</f>
        <v/>
      </c>
      <c r="W447">
        <f>HYPERLINK("https://klasma.github.io/Logging_2401/klagomålsmail/A 37141-2023 FSC-klagomål mail.docx", "A 37141-2023")</f>
        <v/>
      </c>
      <c r="X447">
        <f>HYPERLINK("https://klasma.github.io/Logging_2401/tillsyn/A 37141-2023 tillsynsbegäran.docx", "A 37141-2023")</f>
        <v/>
      </c>
      <c r="Y447">
        <f>HYPERLINK("https://klasma.github.io/Logging_2401/tillsynsmail/A 37141-2023 tillsynsbegäran mail.docx", "A 37141-2023")</f>
        <v/>
      </c>
    </row>
    <row r="448" ht="15" customHeight="1">
      <c r="A448" t="inlineStr">
        <is>
          <t>A 49135-2023</t>
        </is>
      </c>
      <c r="B448" s="1" t="n">
        <v>45205</v>
      </c>
      <c r="C448" s="1" t="n">
        <v>45788</v>
      </c>
      <c r="D448" t="inlineStr">
        <is>
          <t>VÄSTERBOTTENS LÄN</t>
        </is>
      </c>
      <c r="E448" t="inlineStr">
        <is>
          <t>VILHELMINA</t>
        </is>
      </c>
      <c r="F448" t="inlineStr">
        <is>
          <t>Allmännings- och besparingsskogar</t>
        </is>
      </c>
      <c r="G448" t="n">
        <v>5.1</v>
      </c>
      <c r="H448" t="n">
        <v>1</v>
      </c>
      <c r="I448" t="n">
        <v>1</v>
      </c>
      <c r="J448" t="n">
        <v>5</v>
      </c>
      <c r="K448" t="n">
        <v>0</v>
      </c>
      <c r="L448" t="n">
        <v>0</v>
      </c>
      <c r="M448" t="n">
        <v>0</v>
      </c>
      <c r="N448" t="n">
        <v>0</v>
      </c>
      <c r="O448" t="n">
        <v>5</v>
      </c>
      <c r="P448" t="n">
        <v>0</v>
      </c>
      <c r="Q448" t="n">
        <v>6</v>
      </c>
      <c r="R448" s="2" t="inlineStr">
        <is>
          <t>Blanksvart spiklav
Blågrå svartspik
Garnlav
Skrovellav
Tretåig hackspett
Skinnlav</t>
        </is>
      </c>
      <c r="S448">
        <f>HYPERLINK("https://klasma.github.io/Logging_2462/artfynd/A 49135-2023 artfynd.xlsx", "A 49135-2023")</f>
        <v/>
      </c>
      <c r="T448">
        <f>HYPERLINK("https://klasma.github.io/Logging_2462/kartor/A 49135-2023 karta.png", "A 49135-2023")</f>
        <v/>
      </c>
      <c r="V448">
        <f>HYPERLINK("https://klasma.github.io/Logging_2462/klagomål/A 49135-2023 FSC-klagomål.docx", "A 49135-2023")</f>
        <v/>
      </c>
      <c r="W448">
        <f>HYPERLINK("https://klasma.github.io/Logging_2462/klagomålsmail/A 49135-2023 FSC-klagomål mail.docx", "A 49135-2023")</f>
        <v/>
      </c>
      <c r="X448">
        <f>HYPERLINK("https://klasma.github.io/Logging_2462/tillsyn/A 49135-2023 tillsynsbegäran.docx", "A 49135-2023")</f>
        <v/>
      </c>
      <c r="Y448">
        <f>HYPERLINK("https://klasma.github.io/Logging_2462/tillsynsmail/A 49135-2023 tillsynsbegäran mail.docx", "A 49135-2023")</f>
        <v/>
      </c>
      <c r="Z448">
        <f>HYPERLINK("https://klasma.github.io/Logging_2462/fåglar/A 49135-2023 prioriterade fågelarter.docx", "A 49135-2023")</f>
        <v/>
      </c>
    </row>
    <row r="449" ht="15" customHeight="1">
      <c r="A449" t="inlineStr">
        <is>
          <t>A 2601-2024</t>
        </is>
      </c>
      <c r="B449" s="1" t="n">
        <v>45313</v>
      </c>
      <c r="C449" s="1" t="n">
        <v>45788</v>
      </c>
      <c r="D449" t="inlineStr">
        <is>
          <t>VÄSTERBOTTENS LÄN</t>
        </is>
      </c>
      <c r="E449" t="inlineStr">
        <is>
          <t>ÅSELE</t>
        </is>
      </c>
      <c r="F449" t="inlineStr">
        <is>
          <t>Övriga Aktiebolag</t>
        </is>
      </c>
      <c r="G449" t="n">
        <v>6</v>
      </c>
      <c r="H449" t="n">
        <v>0</v>
      </c>
      <c r="I449" t="n">
        <v>0</v>
      </c>
      <c r="J449" t="n">
        <v>6</v>
      </c>
      <c r="K449" t="n">
        <v>0</v>
      </c>
      <c r="L449" t="n">
        <v>0</v>
      </c>
      <c r="M449" t="n">
        <v>0</v>
      </c>
      <c r="N449" t="n">
        <v>0</v>
      </c>
      <c r="O449" t="n">
        <v>6</v>
      </c>
      <c r="P449" t="n">
        <v>0</v>
      </c>
      <c r="Q449" t="n">
        <v>6</v>
      </c>
      <c r="R449" s="2" t="inlineStr">
        <is>
          <t>Blanksvart spiklav
Dvärgbägarlav
Gammelgransskål
Lunglav
Ullticka
Vedskivlav</t>
        </is>
      </c>
      <c r="S449">
        <f>HYPERLINK("https://klasma.github.io/Logging_2463/artfynd/A 2601-2024 artfynd.xlsx", "A 2601-2024")</f>
        <v/>
      </c>
      <c r="T449">
        <f>HYPERLINK("https://klasma.github.io/Logging_2463/kartor/A 2601-2024 karta.png", "A 2601-2024")</f>
        <v/>
      </c>
      <c r="V449">
        <f>HYPERLINK("https://klasma.github.io/Logging_2463/klagomål/A 2601-2024 FSC-klagomål.docx", "A 2601-2024")</f>
        <v/>
      </c>
      <c r="W449">
        <f>HYPERLINK("https://klasma.github.io/Logging_2463/klagomålsmail/A 2601-2024 FSC-klagomål mail.docx", "A 2601-2024")</f>
        <v/>
      </c>
      <c r="X449">
        <f>HYPERLINK("https://klasma.github.io/Logging_2463/tillsyn/A 2601-2024 tillsynsbegäran.docx", "A 2601-2024")</f>
        <v/>
      </c>
      <c r="Y449">
        <f>HYPERLINK("https://klasma.github.io/Logging_2463/tillsynsmail/A 2601-2024 tillsynsbegäran mail.docx", "A 2601-2024")</f>
        <v/>
      </c>
    </row>
    <row r="450" ht="15" customHeight="1">
      <c r="A450" t="inlineStr">
        <is>
          <t>A 2801-2024</t>
        </is>
      </c>
      <c r="B450" s="1" t="n">
        <v>45314</v>
      </c>
      <c r="C450" s="1" t="n">
        <v>45788</v>
      </c>
      <c r="D450" t="inlineStr">
        <is>
          <t>VÄSTERBOTTENS LÄN</t>
        </is>
      </c>
      <c r="E450" t="inlineStr">
        <is>
          <t>SKELLEFTEÅ</t>
        </is>
      </c>
      <c r="F450" t="inlineStr">
        <is>
          <t>Sveaskog</t>
        </is>
      </c>
      <c r="G450" t="n">
        <v>10.8</v>
      </c>
      <c r="H450" t="n">
        <v>0</v>
      </c>
      <c r="I450" t="n">
        <v>1</v>
      </c>
      <c r="J450" t="n">
        <v>5</v>
      </c>
      <c r="K450" t="n">
        <v>0</v>
      </c>
      <c r="L450" t="n">
        <v>0</v>
      </c>
      <c r="M450" t="n">
        <v>0</v>
      </c>
      <c r="N450" t="n">
        <v>0</v>
      </c>
      <c r="O450" t="n">
        <v>5</v>
      </c>
      <c r="P450" t="n">
        <v>0</v>
      </c>
      <c r="Q450" t="n">
        <v>6</v>
      </c>
      <c r="R450" s="2" t="inlineStr">
        <is>
          <t>Hapalopilus aurantiacus
Motaggsvamp
Mörk kolflarnlav
Vaddporing
Vitplätt
Dropptaggsvamp</t>
        </is>
      </c>
      <c r="S450">
        <f>HYPERLINK("https://klasma.github.io/Logging_2482/artfynd/A 2801-2024 artfynd.xlsx", "A 2801-2024")</f>
        <v/>
      </c>
      <c r="T450">
        <f>HYPERLINK("https://klasma.github.io/Logging_2482/kartor/A 2801-2024 karta.png", "A 2801-2024")</f>
        <v/>
      </c>
      <c r="V450">
        <f>HYPERLINK("https://klasma.github.io/Logging_2482/klagomål/A 2801-2024 FSC-klagomål.docx", "A 2801-2024")</f>
        <v/>
      </c>
      <c r="W450">
        <f>HYPERLINK("https://klasma.github.io/Logging_2482/klagomålsmail/A 2801-2024 FSC-klagomål mail.docx", "A 2801-2024")</f>
        <v/>
      </c>
      <c r="X450">
        <f>HYPERLINK("https://klasma.github.io/Logging_2482/tillsyn/A 2801-2024 tillsynsbegäran.docx", "A 2801-2024")</f>
        <v/>
      </c>
      <c r="Y450">
        <f>HYPERLINK("https://klasma.github.io/Logging_2482/tillsynsmail/A 2801-2024 tillsynsbegäran mail.docx", "A 2801-2024")</f>
        <v/>
      </c>
    </row>
    <row r="451" ht="15" customHeight="1">
      <c r="A451" t="inlineStr">
        <is>
          <t>A 5735-2024</t>
        </is>
      </c>
      <c r="B451" s="1" t="n">
        <v>45334</v>
      </c>
      <c r="C451" s="1" t="n">
        <v>45788</v>
      </c>
      <c r="D451" t="inlineStr">
        <is>
          <t>VÄSTERBOTTENS LÄN</t>
        </is>
      </c>
      <c r="E451" t="inlineStr">
        <is>
          <t>DOROTEA</t>
        </is>
      </c>
      <c r="F451" t="inlineStr">
        <is>
          <t>SCA</t>
        </is>
      </c>
      <c r="G451" t="n">
        <v>20.4</v>
      </c>
      <c r="H451" t="n">
        <v>1</v>
      </c>
      <c r="I451" t="n">
        <v>0</v>
      </c>
      <c r="J451" t="n">
        <v>5</v>
      </c>
      <c r="K451" t="n">
        <v>1</v>
      </c>
      <c r="L451" t="n">
        <v>0</v>
      </c>
      <c r="M451" t="n">
        <v>0</v>
      </c>
      <c r="N451" t="n">
        <v>0</v>
      </c>
      <c r="O451" t="n">
        <v>6</v>
      </c>
      <c r="P451" t="n">
        <v>1</v>
      </c>
      <c r="Q451" t="n">
        <v>6</v>
      </c>
      <c r="R451" s="2" t="inlineStr">
        <is>
          <t>Ostticka
Garnlav
Granticka
Harticka
Tretåig hackspett
Ullticka</t>
        </is>
      </c>
      <c r="S451">
        <f>HYPERLINK("https://klasma.github.io/Logging_2425/artfynd/A 5735-2024 artfynd.xlsx", "A 5735-2024")</f>
        <v/>
      </c>
      <c r="T451">
        <f>HYPERLINK("https://klasma.github.io/Logging_2425/kartor/A 5735-2024 karta.png", "A 5735-2024")</f>
        <v/>
      </c>
      <c r="V451">
        <f>HYPERLINK("https://klasma.github.io/Logging_2425/klagomål/A 5735-2024 FSC-klagomål.docx", "A 5735-2024")</f>
        <v/>
      </c>
      <c r="W451">
        <f>HYPERLINK("https://klasma.github.io/Logging_2425/klagomålsmail/A 5735-2024 FSC-klagomål mail.docx", "A 5735-2024")</f>
        <v/>
      </c>
      <c r="X451">
        <f>HYPERLINK("https://klasma.github.io/Logging_2425/tillsyn/A 5735-2024 tillsynsbegäran.docx", "A 5735-2024")</f>
        <v/>
      </c>
      <c r="Y451">
        <f>HYPERLINK("https://klasma.github.io/Logging_2425/tillsynsmail/A 5735-2024 tillsynsbegäran mail.docx", "A 5735-2024")</f>
        <v/>
      </c>
      <c r="Z451">
        <f>HYPERLINK("https://klasma.github.io/Logging_2425/fåglar/A 5735-2024 prioriterade fågelarter.docx", "A 5735-2024")</f>
        <v/>
      </c>
    </row>
    <row r="452" ht="15" customHeight="1">
      <c r="A452" t="inlineStr">
        <is>
          <t>A 15152-2024</t>
        </is>
      </c>
      <c r="B452" s="1" t="n">
        <v>45399</v>
      </c>
      <c r="C452" s="1" t="n">
        <v>45788</v>
      </c>
      <c r="D452" t="inlineStr">
        <is>
          <t>VÄSTERBOTTENS LÄN</t>
        </is>
      </c>
      <c r="E452" t="inlineStr">
        <is>
          <t>VINDELN</t>
        </is>
      </c>
      <c r="F452" t="inlineStr">
        <is>
          <t>SCA</t>
        </is>
      </c>
      <c r="G452" t="n">
        <v>12.5</v>
      </c>
      <c r="H452" t="n">
        <v>0</v>
      </c>
      <c r="I452" t="n">
        <v>3</v>
      </c>
      <c r="J452" t="n">
        <v>3</v>
      </c>
      <c r="K452" t="n">
        <v>0</v>
      </c>
      <c r="L452" t="n">
        <v>0</v>
      </c>
      <c r="M452" t="n">
        <v>0</v>
      </c>
      <c r="N452" t="n">
        <v>0</v>
      </c>
      <c r="O452" t="n">
        <v>3</v>
      </c>
      <c r="P452" t="n">
        <v>0</v>
      </c>
      <c r="Q452" t="n">
        <v>6</v>
      </c>
      <c r="R452" s="2" t="inlineStr">
        <is>
          <t>Blå taggsvamp
Motaggsvamp
Orange taggsvamp
Dropptaggsvamp
Luddlav
Skarp dropptaggsvamp</t>
        </is>
      </c>
      <c r="S452">
        <f>HYPERLINK("https://klasma.github.io/Logging_2404/artfynd/A 15152-2024 artfynd.xlsx", "A 15152-2024")</f>
        <v/>
      </c>
      <c r="T452">
        <f>HYPERLINK("https://klasma.github.io/Logging_2404/kartor/A 15152-2024 karta.png", "A 15152-2024")</f>
        <v/>
      </c>
      <c r="V452">
        <f>HYPERLINK("https://klasma.github.io/Logging_2404/klagomål/A 15152-2024 FSC-klagomål.docx", "A 15152-2024")</f>
        <v/>
      </c>
      <c r="W452">
        <f>HYPERLINK("https://klasma.github.io/Logging_2404/klagomålsmail/A 15152-2024 FSC-klagomål mail.docx", "A 15152-2024")</f>
        <v/>
      </c>
      <c r="X452">
        <f>HYPERLINK("https://klasma.github.io/Logging_2404/tillsyn/A 15152-2024 tillsynsbegäran.docx", "A 15152-2024")</f>
        <v/>
      </c>
      <c r="Y452">
        <f>HYPERLINK("https://klasma.github.io/Logging_2404/tillsynsmail/A 15152-2024 tillsynsbegäran mail.docx", "A 15152-2024")</f>
        <v/>
      </c>
    </row>
    <row r="453" ht="15" customHeight="1">
      <c r="A453" t="inlineStr">
        <is>
          <t>A 16100-2024</t>
        </is>
      </c>
      <c r="B453" s="1" t="n">
        <v>45406</v>
      </c>
      <c r="C453" s="1" t="n">
        <v>45788</v>
      </c>
      <c r="D453" t="inlineStr">
        <is>
          <t>VÄSTERBOTTENS LÄN</t>
        </is>
      </c>
      <c r="E453" t="inlineStr">
        <is>
          <t>UMEÅ</t>
        </is>
      </c>
      <c r="G453" t="n">
        <v>8</v>
      </c>
      <c r="H453" t="n">
        <v>2</v>
      </c>
      <c r="I453" t="n">
        <v>1</v>
      </c>
      <c r="J453" t="n">
        <v>5</v>
      </c>
      <c r="K453" t="n">
        <v>0</v>
      </c>
      <c r="L453" t="n">
        <v>0</v>
      </c>
      <c r="M453" t="n">
        <v>0</v>
      </c>
      <c r="N453" t="n">
        <v>0</v>
      </c>
      <c r="O453" t="n">
        <v>5</v>
      </c>
      <c r="P453" t="n">
        <v>0</v>
      </c>
      <c r="Q453" t="n">
        <v>6</v>
      </c>
      <c r="R453" s="2" t="inlineStr">
        <is>
          <t>Granticka
Gränsticka
Järpe
Spillkråka
Ullticka
Vedticka</t>
        </is>
      </c>
      <c r="S453">
        <f>HYPERLINK("https://klasma.github.io/Logging_2480/artfynd/A 16100-2024 artfynd.xlsx", "A 16100-2024")</f>
        <v/>
      </c>
      <c r="T453">
        <f>HYPERLINK("https://klasma.github.io/Logging_2480/kartor/A 16100-2024 karta.png", "A 16100-2024")</f>
        <v/>
      </c>
      <c r="V453">
        <f>HYPERLINK("https://klasma.github.io/Logging_2480/klagomål/A 16100-2024 FSC-klagomål.docx", "A 16100-2024")</f>
        <v/>
      </c>
      <c r="W453">
        <f>HYPERLINK("https://klasma.github.io/Logging_2480/klagomålsmail/A 16100-2024 FSC-klagomål mail.docx", "A 16100-2024")</f>
        <v/>
      </c>
      <c r="X453">
        <f>HYPERLINK("https://klasma.github.io/Logging_2480/tillsyn/A 16100-2024 tillsynsbegäran.docx", "A 16100-2024")</f>
        <v/>
      </c>
      <c r="Y453">
        <f>HYPERLINK("https://klasma.github.io/Logging_2480/tillsynsmail/A 16100-2024 tillsynsbegäran mail.docx", "A 16100-2024")</f>
        <v/>
      </c>
      <c r="Z453">
        <f>HYPERLINK("https://klasma.github.io/Logging_2480/fåglar/A 16100-2024 prioriterade fågelarter.docx", "A 16100-2024")</f>
        <v/>
      </c>
    </row>
    <row r="454" ht="15" customHeight="1">
      <c r="A454" t="inlineStr">
        <is>
          <t>A 27283-2024</t>
        </is>
      </c>
      <c r="B454" s="1" t="n">
        <v>45472</v>
      </c>
      <c r="C454" s="1" t="n">
        <v>45788</v>
      </c>
      <c r="D454" t="inlineStr">
        <is>
          <t>VÄSTERBOTTENS LÄN</t>
        </is>
      </c>
      <c r="E454" t="inlineStr">
        <is>
          <t>NORSJÖ</t>
        </is>
      </c>
      <c r="G454" t="n">
        <v>5.9</v>
      </c>
      <c r="H454" t="n">
        <v>2</v>
      </c>
      <c r="I454" t="n">
        <v>1</v>
      </c>
      <c r="J454" t="n">
        <v>5</v>
      </c>
      <c r="K454" t="n">
        <v>0</v>
      </c>
      <c r="L454" t="n">
        <v>0</v>
      </c>
      <c r="M454" t="n">
        <v>0</v>
      </c>
      <c r="N454" t="n">
        <v>0</v>
      </c>
      <c r="O454" t="n">
        <v>5</v>
      </c>
      <c r="P454" t="n">
        <v>0</v>
      </c>
      <c r="Q454" t="n">
        <v>6</v>
      </c>
      <c r="R454" s="2" t="inlineStr">
        <is>
          <t>Gammelgransskål
Garnlav
Rosenticka
Spillkråka
Tretåig hackspett
Trådticka</t>
        </is>
      </c>
      <c r="S454">
        <f>HYPERLINK("https://klasma.github.io/Logging_2417/artfynd/A 27283-2024 artfynd.xlsx", "A 27283-2024")</f>
        <v/>
      </c>
      <c r="T454">
        <f>HYPERLINK("https://klasma.github.io/Logging_2417/kartor/A 27283-2024 karta.png", "A 27283-2024")</f>
        <v/>
      </c>
      <c r="V454">
        <f>HYPERLINK("https://klasma.github.io/Logging_2417/klagomål/A 27283-2024 FSC-klagomål.docx", "A 27283-2024")</f>
        <v/>
      </c>
      <c r="W454">
        <f>HYPERLINK("https://klasma.github.io/Logging_2417/klagomålsmail/A 27283-2024 FSC-klagomål mail.docx", "A 27283-2024")</f>
        <v/>
      </c>
      <c r="X454">
        <f>HYPERLINK("https://klasma.github.io/Logging_2417/tillsyn/A 27283-2024 tillsynsbegäran.docx", "A 27283-2024")</f>
        <v/>
      </c>
      <c r="Y454">
        <f>HYPERLINK("https://klasma.github.io/Logging_2417/tillsynsmail/A 27283-2024 tillsynsbegäran mail.docx", "A 27283-2024")</f>
        <v/>
      </c>
      <c r="Z454">
        <f>HYPERLINK("https://klasma.github.io/Logging_2417/fåglar/A 27283-2024 prioriterade fågelarter.docx", "A 27283-2024")</f>
        <v/>
      </c>
    </row>
    <row r="455" ht="15" customHeight="1">
      <c r="A455" t="inlineStr">
        <is>
          <t>A 32612-2024</t>
        </is>
      </c>
      <c r="B455" s="1" t="n">
        <v>45513</v>
      </c>
      <c r="C455" s="1" t="n">
        <v>45788</v>
      </c>
      <c r="D455" t="inlineStr">
        <is>
          <t>VÄSTERBOTTENS LÄN</t>
        </is>
      </c>
      <c r="E455" t="inlineStr">
        <is>
          <t>SKELLEFTEÅ</t>
        </is>
      </c>
      <c r="F455" t="inlineStr">
        <is>
          <t>Sveaskog</t>
        </is>
      </c>
      <c r="G455" t="n">
        <v>12.9</v>
      </c>
      <c r="H455" t="n">
        <v>2</v>
      </c>
      <c r="I455" t="n">
        <v>4</v>
      </c>
      <c r="J455" t="n">
        <v>1</v>
      </c>
      <c r="K455" t="n">
        <v>0</v>
      </c>
      <c r="L455" t="n">
        <v>0</v>
      </c>
      <c r="M455" t="n">
        <v>0</v>
      </c>
      <c r="N455" t="n">
        <v>0</v>
      </c>
      <c r="O455" t="n">
        <v>1</v>
      </c>
      <c r="P455" t="n">
        <v>0</v>
      </c>
      <c r="Q455" t="n">
        <v>6</v>
      </c>
      <c r="R455" s="2" t="inlineStr">
        <is>
          <t>Tretåig hackspett
Bronshjon
Myskbock
Stuplav
Vågbandad barkbock
Fläcknycklar</t>
        </is>
      </c>
      <c r="S455">
        <f>HYPERLINK("https://klasma.github.io/Logging_2482/artfynd/A 32612-2024 artfynd.xlsx", "A 32612-2024")</f>
        <v/>
      </c>
      <c r="T455">
        <f>HYPERLINK("https://klasma.github.io/Logging_2482/kartor/A 32612-2024 karta.png", "A 32612-2024")</f>
        <v/>
      </c>
      <c r="V455">
        <f>HYPERLINK("https://klasma.github.io/Logging_2482/klagomål/A 32612-2024 FSC-klagomål.docx", "A 32612-2024")</f>
        <v/>
      </c>
      <c r="W455">
        <f>HYPERLINK("https://klasma.github.io/Logging_2482/klagomålsmail/A 32612-2024 FSC-klagomål mail.docx", "A 32612-2024")</f>
        <v/>
      </c>
      <c r="X455">
        <f>HYPERLINK("https://klasma.github.io/Logging_2482/tillsyn/A 32612-2024 tillsynsbegäran.docx", "A 32612-2024")</f>
        <v/>
      </c>
      <c r="Y455">
        <f>HYPERLINK("https://klasma.github.io/Logging_2482/tillsynsmail/A 32612-2024 tillsynsbegäran mail.docx", "A 32612-2024")</f>
        <v/>
      </c>
      <c r="Z455">
        <f>HYPERLINK("https://klasma.github.io/Logging_2482/fåglar/A 32612-2024 prioriterade fågelarter.docx", "A 32612-2024")</f>
        <v/>
      </c>
    </row>
    <row r="456" ht="15" customHeight="1">
      <c r="A456" t="inlineStr">
        <is>
          <t>A 33589-2024</t>
        </is>
      </c>
      <c r="B456" s="1" t="n">
        <v>45520</v>
      </c>
      <c r="C456" s="1" t="n">
        <v>45788</v>
      </c>
      <c r="D456" t="inlineStr">
        <is>
          <t>VÄSTERBOTTENS LÄN</t>
        </is>
      </c>
      <c r="E456" t="inlineStr">
        <is>
          <t>LYCKSELE</t>
        </is>
      </c>
      <c r="F456" t="inlineStr">
        <is>
          <t>Sveaskog</t>
        </is>
      </c>
      <c r="G456" t="n">
        <v>3.5</v>
      </c>
      <c r="H456" t="n">
        <v>3</v>
      </c>
      <c r="I456" t="n">
        <v>0</v>
      </c>
      <c r="J456" t="n">
        <v>4</v>
      </c>
      <c r="K456" t="n">
        <v>0</v>
      </c>
      <c r="L456" t="n">
        <v>0</v>
      </c>
      <c r="M456" t="n">
        <v>0</v>
      </c>
      <c r="N456" t="n">
        <v>0</v>
      </c>
      <c r="O456" t="n">
        <v>4</v>
      </c>
      <c r="P456" t="n">
        <v>0</v>
      </c>
      <c r="Q456" t="n">
        <v>6</v>
      </c>
      <c r="R456" s="2" t="inlineStr">
        <is>
          <t>Garnlav
Granticka
Spillkråka
Ullticka
Lavskrika
Revlummer</t>
        </is>
      </c>
      <c r="S456">
        <f>HYPERLINK("https://klasma.github.io/Logging_2481/artfynd/A 33589-2024 artfynd.xlsx", "A 33589-2024")</f>
        <v/>
      </c>
      <c r="T456">
        <f>HYPERLINK("https://klasma.github.io/Logging_2481/kartor/A 33589-2024 karta.png", "A 33589-2024")</f>
        <v/>
      </c>
      <c r="V456">
        <f>HYPERLINK("https://klasma.github.io/Logging_2481/klagomål/A 33589-2024 FSC-klagomål.docx", "A 33589-2024")</f>
        <v/>
      </c>
      <c r="W456">
        <f>HYPERLINK("https://klasma.github.io/Logging_2481/klagomålsmail/A 33589-2024 FSC-klagomål mail.docx", "A 33589-2024")</f>
        <v/>
      </c>
      <c r="X456">
        <f>HYPERLINK("https://klasma.github.io/Logging_2481/tillsyn/A 33589-2024 tillsynsbegäran.docx", "A 33589-2024")</f>
        <v/>
      </c>
      <c r="Y456">
        <f>HYPERLINK("https://klasma.github.io/Logging_2481/tillsynsmail/A 33589-2024 tillsynsbegäran mail.docx", "A 33589-2024")</f>
        <v/>
      </c>
      <c r="Z456">
        <f>HYPERLINK("https://klasma.github.io/Logging_2481/fåglar/A 33589-2024 prioriterade fågelarter.docx", "A 33589-2024")</f>
        <v/>
      </c>
    </row>
    <row r="457" ht="15" customHeight="1">
      <c r="A457" t="inlineStr">
        <is>
          <t>A 33890-2024</t>
        </is>
      </c>
      <c r="B457" s="1" t="n">
        <v>45523</v>
      </c>
      <c r="C457" s="1" t="n">
        <v>45788</v>
      </c>
      <c r="D457" t="inlineStr">
        <is>
          <t>VÄSTERBOTTENS LÄN</t>
        </is>
      </c>
      <c r="E457" t="inlineStr">
        <is>
          <t>ROBERTSFORS</t>
        </is>
      </c>
      <c r="G457" t="n">
        <v>5.8</v>
      </c>
      <c r="H457" t="n">
        <v>1</v>
      </c>
      <c r="I457" t="n">
        <v>0</v>
      </c>
      <c r="J457" t="n">
        <v>6</v>
      </c>
      <c r="K457" t="n">
        <v>0</v>
      </c>
      <c r="L457" t="n">
        <v>0</v>
      </c>
      <c r="M457" t="n">
        <v>0</v>
      </c>
      <c r="N457" t="n">
        <v>0</v>
      </c>
      <c r="O457" t="n">
        <v>6</v>
      </c>
      <c r="P457" t="n">
        <v>0</v>
      </c>
      <c r="Q457" t="n">
        <v>6</v>
      </c>
      <c r="R457" s="2" t="inlineStr">
        <is>
          <t>Gammelgransskål
Garnlav
Granticka
Tallticka
Tretåig hackspett
Ullticka</t>
        </is>
      </c>
      <c r="S457">
        <f>HYPERLINK("https://klasma.github.io/Logging_2409/artfynd/A 33890-2024 artfynd.xlsx", "A 33890-2024")</f>
        <v/>
      </c>
      <c r="T457">
        <f>HYPERLINK("https://klasma.github.io/Logging_2409/kartor/A 33890-2024 karta.png", "A 33890-2024")</f>
        <v/>
      </c>
      <c r="V457">
        <f>HYPERLINK("https://klasma.github.io/Logging_2409/klagomål/A 33890-2024 FSC-klagomål.docx", "A 33890-2024")</f>
        <v/>
      </c>
      <c r="W457">
        <f>HYPERLINK("https://klasma.github.io/Logging_2409/klagomålsmail/A 33890-2024 FSC-klagomål mail.docx", "A 33890-2024")</f>
        <v/>
      </c>
      <c r="X457">
        <f>HYPERLINK("https://klasma.github.io/Logging_2409/tillsyn/A 33890-2024 tillsynsbegäran.docx", "A 33890-2024")</f>
        <v/>
      </c>
      <c r="Y457">
        <f>HYPERLINK("https://klasma.github.io/Logging_2409/tillsynsmail/A 33890-2024 tillsynsbegäran mail.docx", "A 33890-2024")</f>
        <v/>
      </c>
      <c r="Z457">
        <f>HYPERLINK("https://klasma.github.io/Logging_2409/fåglar/A 33890-2024 prioriterade fågelarter.docx", "A 33890-2024")</f>
        <v/>
      </c>
    </row>
    <row r="458" ht="15" customHeight="1">
      <c r="A458" t="inlineStr">
        <is>
          <t>A 38128-2024</t>
        </is>
      </c>
      <c r="B458" s="1" t="n">
        <v>45545</v>
      </c>
      <c r="C458" s="1" t="n">
        <v>45788</v>
      </c>
      <c r="D458" t="inlineStr">
        <is>
          <t>VÄSTERBOTTENS LÄN</t>
        </is>
      </c>
      <c r="E458" t="inlineStr">
        <is>
          <t>VILHELMINA</t>
        </is>
      </c>
      <c r="F458" t="inlineStr">
        <is>
          <t>SCA</t>
        </is>
      </c>
      <c r="G458" t="n">
        <v>9.5</v>
      </c>
      <c r="H458" t="n">
        <v>1</v>
      </c>
      <c r="I458" t="n">
        <v>0</v>
      </c>
      <c r="J458" t="n">
        <v>6</v>
      </c>
      <c r="K458" t="n">
        <v>0</v>
      </c>
      <c r="L458" t="n">
        <v>0</v>
      </c>
      <c r="M458" t="n">
        <v>0</v>
      </c>
      <c r="N458" t="n">
        <v>0</v>
      </c>
      <c r="O458" t="n">
        <v>6</v>
      </c>
      <c r="P458" t="n">
        <v>0</v>
      </c>
      <c r="Q458" t="n">
        <v>6</v>
      </c>
      <c r="R458" s="2" t="inlineStr">
        <is>
          <t>Gammelgransskål
Garnlav
Granticka
Liten svartspik
Tretåig hackspett
Vitgrynig nållav</t>
        </is>
      </c>
      <c r="S458">
        <f>HYPERLINK("https://klasma.github.io/Logging_2462/artfynd/A 38128-2024 artfynd.xlsx", "A 38128-2024")</f>
        <v/>
      </c>
      <c r="T458">
        <f>HYPERLINK("https://klasma.github.io/Logging_2462/kartor/A 38128-2024 karta.png", "A 38128-2024")</f>
        <v/>
      </c>
      <c r="V458">
        <f>HYPERLINK("https://klasma.github.io/Logging_2462/klagomål/A 38128-2024 FSC-klagomål.docx", "A 38128-2024")</f>
        <v/>
      </c>
      <c r="W458">
        <f>HYPERLINK("https://klasma.github.io/Logging_2462/klagomålsmail/A 38128-2024 FSC-klagomål mail.docx", "A 38128-2024")</f>
        <v/>
      </c>
      <c r="X458">
        <f>HYPERLINK("https://klasma.github.io/Logging_2462/tillsyn/A 38128-2024 tillsynsbegäran.docx", "A 38128-2024")</f>
        <v/>
      </c>
      <c r="Y458">
        <f>HYPERLINK("https://klasma.github.io/Logging_2462/tillsynsmail/A 38128-2024 tillsynsbegäran mail.docx", "A 38128-2024")</f>
        <v/>
      </c>
      <c r="Z458">
        <f>HYPERLINK("https://klasma.github.io/Logging_2462/fåglar/A 38128-2024 prioriterade fågelarter.docx", "A 38128-2024")</f>
        <v/>
      </c>
    </row>
    <row r="459" ht="15" customHeight="1">
      <c r="A459" t="inlineStr">
        <is>
          <t>A 38550-2024</t>
        </is>
      </c>
      <c r="B459" s="1" t="n">
        <v>45546</v>
      </c>
      <c r="C459" s="1" t="n">
        <v>45788</v>
      </c>
      <c r="D459" t="inlineStr">
        <is>
          <t>VÄSTERBOTTENS LÄN</t>
        </is>
      </c>
      <c r="E459" t="inlineStr">
        <is>
          <t>VILHELMINA</t>
        </is>
      </c>
      <c r="G459" t="n">
        <v>4.6</v>
      </c>
      <c r="H459" t="n">
        <v>1</v>
      </c>
      <c r="I459" t="n">
        <v>1</v>
      </c>
      <c r="J459" t="n">
        <v>5</v>
      </c>
      <c r="K459" t="n">
        <v>0</v>
      </c>
      <c r="L459" t="n">
        <v>0</v>
      </c>
      <c r="M459" t="n">
        <v>0</v>
      </c>
      <c r="N459" t="n">
        <v>0</v>
      </c>
      <c r="O459" t="n">
        <v>5</v>
      </c>
      <c r="P459" t="n">
        <v>0</v>
      </c>
      <c r="Q459" t="n">
        <v>6</v>
      </c>
      <c r="R459" s="2" t="inlineStr">
        <is>
          <t>Garnlav
Granticka
Harticka
Tretåig hackspett
Ullticka
Stuplav</t>
        </is>
      </c>
      <c r="S459">
        <f>HYPERLINK("https://klasma.github.io/Logging_2462/artfynd/A 38550-2024 artfynd.xlsx", "A 38550-2024")</f>
        <v/>
      </c>
      <c r="T459">
        <f>HYPERLINK("https://klasma.github.io/Logging_2462/kartor/A 38550-2024 karta.png", "A 38550-2024")</f>
        <v/>
      </c>
      <c r="V459">
        <f>HYPERLINK("https://klasma.github.io/Logging_2462/klagomål/A 38550-2024 FSC-klagomål.docx", "A 38550-2024")</f>
        <v/>
      </c>
      <c r="W459">
        <f>HYPERLINK("https://klasma.github.io/Logging_2462/klagomålsmail/A 38550-2024 FSC-klagomål mail.docx", "A 38550-2024")</f>
        <v/>
      </c>
      <c r="X459">
        <f>HYPERLINK("https://klasma.github.io/Logging_2462/tillsyn/A 38550-2024 tillsynsbegäran.docx", "A 38550-2024")</f>
        <v/>
      </c>
      <c r="Y459">
        <f>HYPERLINK("https://klasma.github.io/Logging_2462/tillsynsmail/A 38550-2024 tillsynsbegäran mail.docx", "A 38550-2024")</f>
        <v/>
      </c>
      <c r="Z459">
        <f>HYPERLINK("https://klasma.github.io/Logging_2462/fåglar/A 38550-2024 prioriterade fågelarter.docx", "A 38550-2024")</f>
        <v/>
      </c>
    </row>
    <row r="460" ht="15" customHeight="1">
      <c r="A460" t="inlineStr">
        <is>
          <t>A 38540-2024</t>
        </is>
      </c>
      <c r="B460" s="1" t="n">
        <v>45546</v>
      </c>
      <c r="C460" s="1" t="n">
        <v>45788</v>
      </c>
      <c r="D460" t="inlineStr">
        <is>
          <t>VÄSTERBOTTENS LÄN</t>
        </is>
      </c>
      <c r="E460" t="inlineStr">
        <is>
          <t>VILHELMINA</t>
        </is>
      </c>
      <c r="G460" t="n">
        <v>2.7</v>
      </c>
      <c r="H460" t="n">
        <v>1</v>
      </c>
      <c r="I460" t="n">
        <v>1</v>
      </c>
      <c r="J460" t="n">
        <v>4</v>
      </c>
      <c r="K460" t="n">
        <v>1</v>
      </c>
      <c r="L460" t="n">
        <v>0</v>
      </c>
      <c r="M460" t="n">
        <v>0</v>
      </c>
      <c r="N460" t="n">
        <v>0</v>
      </c>
      <c r="O460" t="n">
        <v>5</v>
      </c>
      <c r="P460" t="n">
        <v>1</v>
      </c>
      <c r="Q460" t="n">
        <v>6</v>
      </c>
      <c r="R460" s="2" t="inlineStr">
        <is>
          <t>Rynkskinn
Doftskinn
Gammelgransskål
Granticka
Tretåig hackspett
Skogshakmossa</t>
        </is>
      </c>
      <c r="S460">
        <f>HYPERLINK("https://klasma.github.io/Logging_2462/artfynd/A 38540-2024 artfynd.xlsx", "A 38540-2024")</f>
        <v/>
      </c>
      <c r="T460">
        <f>HYPERLINK("https://klasma.github.io/Logging_2462/kartor/A 38540-2024 karta.png", "A 38540-2024")</f>
        <v/>
      </c>
      <c r="V460">
        <f>HYPERLINK("https://klasma.github.io/Logging_2462/klagomål/A 38540-2024 FSC-klagomål.docx", "A 38540-2024")</f>
        <v/>
      </c>
      <c r="W460">
        <f>HYPERLINK("https://klasma.github.io/Logging_2462/klagomålsmail/A 38540-2024 FSC-klagomål mail.docx", "A 38540-2024")</f>
        <v/>
      </c>
      <c r="X460">
        <f>HYPERLINK("https://klasma.github.io/Logging_2462/tillsyn/A 38540-2024 tillsynsbegäran.docx", "A 38540-2024")</f>
        <v/>
      </c>
      <c r="Y460">
        <f>HYPERLINK("https://klasma.github.io/Logging_2462/tillsynsmail/A 38540-2024 tillsynsbegäran mail.docx", "A 38540-2024")</f>
        <v/>
      </c>
      <c r="Z460">
        <f>HYPERLINK("https://klasma.github.io/Logging_2462/fåglar/A 38540-2024 prioriterade fågelarter.docx", "A 38540-2024")</f>
        <v/>
      </c>
    </row>
    <row r="461" ht="15" customHeight="1">
      <c r="A461" t="inlineStr">
        <is>
          <t>A 38778-2024</t>
        </is>
      </c>
      <c r="B461" s="1" t="n">
        <v>45547</v>
      </c>
      <c r="C461" s="1" t="n">
        <v>45788</v>
      </c>
      <c r="D461" t="inlineStr">
        <is>
          <t>VÄSTERBOTTENS LÄN</t>
        </is>
      </c>
      <c r="E461" t="inlineStr">
        <is>
          <t>UMEÅ</t>
        </is>
      </c>
      <c r="F461" t="inlineStr">
        <is>
          <t>Holmen skog AB</t>
        </is>
      </c>
      <c r="G461" t="n">
        <v>2.6</v>
      </c>
      <c r="H461" t="n">
        <v>0</v>
      </c>
      <c r="I461" t="n">
        <v>1</v>
      </c>
      <c r="J461" t="n">
        <v>5</v>
      </c>
      <c r="K461" t="n">
        <v>0</v>
      </c>
      <c r="L461" t="n">
        <v>0</v>
      </c>
      <c r="M461" t="n">
        <v>0</v>
      </c>
      <c r="N461" t="n">
        <v>0</v>
      </c>
      <c r="O461" t="n">
        <v>5</v>
      </c>
      <c r="P461" t="n">
        <v>0</v>
      </c>
      <c r="Q461" t="n">
        <v>6</v>
      </c>
      <c r="R461" s="2" t="inlineStr">
        <is>
          <t>Blanksvart spiklav
Blågrå svartspik
Vedflamlav
Vedskivlav
Violettgrå tagellav
Bronshjon</t>
        </is>
      </c>
      <c r="S461">
        <f>HYPERLINK("https://klasma.github.io/Logging_2480/artfynd/A 38778-2024 artfynd.xlsx", "A 38778-2024")</f>
        <v/>
      </c>
      <c r="T461">
        <f>HYPERLINK("https://klasma.github.io/Logging_2480/kartor/A 38778-2024 karta.png", "A 38778-2024")</f>
        <v/>
      </c>
      <c r="V461">
        <f>HYPERLINK("https://klasma.github.io/Logging_2480/klagomål/A 38778-2024 FSC-klagomål.docx", "A 38778-2024")</f>
        <v/>
      </c>
      <c r="W461">
        <f>HYPERLINK("https://klasma.github.io/Logging_2480/klagomålsmail/A 38778-2024 FSC-klagomål mail.docx", "A 38778-2024")</f>
        <v/>
      </c>
      <c r="X461">
        <f>HYPERLINK("https://klasma.github.io/Logging_2480/tillsyn/A 38778-2024 tillsynsbegäran.docx", "A 38778-2024")</f>
        <v/>
      </c>
      <c r="Y461">
        <f>HYPERLINK("https://klasma.github.io/Logging_2480/tillsynsmail/A 38778-2024 tillsynsbegäran mail.docx", "A 38778-2024")</f>
        <v/>
      </c>
    </row>
    <row r="462" ht="15" customHeight="1">
      <c r="A462" t="inlineStr">
        <is>
          <t>A 39678-2024</t>
        </is>
      </c>
      <c r="B462" s="1" t="n">
        <v>45552</v>
      </c>
      <c r="C462" s="1" t="n">
        <v>45788</v>
      </c>
      <c r="D462" t="inlineStr">
        <is>
          <t>VÄSTERBOTTENS LÄN</t>
        </is>
      </c>
      <c r="E462" t="inlineStr">
        <is>
          <t>VILHELMINA</t>
        </is>
      </c>
      <c r="F462" t="inlineStr">
        <is>
          <t>SCA</t>
        </is>
      </c>
      <c r="G462" t="n">
        <v>9</v>
      </c>
      <c r="H462" t="n">
        <v>2</v>
      </c>
      <c r="I462" t="n">
        <v>1</v>
      </c>
      <c r="J462" t="n">
        <v>5</v>
      </c>
      <c r="K462" t="n">
        <v>0</v>
      </c>
      <c r="L462" t="n">
        <v>0</v>
      </c>
      <c r="M462" t="n">
        <v>0</v>
      </c>
      <c r="N462" t="n">
        <v>0</v>
      </c>
      <c r="O462" t="n">
        <v>5</v>
      </c>
      <c r="P462" t="n">
        <v>0</v>
      </c>
      <c r="Q462" t="n">
        <v>6</v>
      </c>
      <c r="R462" s="2" t="inlineStr">
        <is>
          <t>Garnlav
Granticka
Rödbrun blekspik
Spillkråka
Tretåig hackspett
Gulnål</t>
        </is>
      </c>
      <c r="S462">
        <f>HYPERLINK("https://klasma.github.io/Logging_2462/artfynd/A 39678-2024 artfynd.xlsx", "A 39678-2024")</f>
        <v/>
      </c>
      <c r="T462">
        <f>HYPERLINK("https://klasma.github.io/Logging_2462/kartor/A 39678-2024 karta.png", "A 39678-2024")</f>
        <v/>
      </c>
      <c r="V462">
        <f>HYPERLINK("https://klasma.github.io/Logging_2462/klagomål/A 39678-2024 FSC-klagomål.docx", "A 39678-2024")</f>
        <v/>
      </c>
      <c r="W462">
        <f>HYPERLINK("https://klasma.github.io/Logging_2462/klagomålsmail/A 39678-2024 FSC-klagomål mail.docx", "A 39678-2024")</f>
        <v/>
      </c>
      <c r="X462">
        <f>HYPERLINK("https://klasma.github.io/Logging_2462/tillsyn/A 39678-2024 tillsynsbegäran.docx", "A 39678-2024")</f>
        <v/>
      </c>
      <c r="Y462">
        <f>HYPERLINK("https://klasma.github.io/Logging_2462/tillsynsmail/A 39678-2024 tillsynsbegäran mail.docx", "A 39678-2024")</f>
        <v/>
      </c>
      <c r="Z462">
        <f>HYPERLINK("https://klasma.github.io/Logging_2462/fåglar/A 39678-2024 prioriterade fågelarter.docx", "A 39678-2024")</f>
        <v/>
      </c>
    </row>
    <row r="463" ht="15" customHeight="1">
      <c r="A463" t="inlineStr">
        <is>
          <t>A 40920-2024</t>
        </is>
      </c>
      <c r="B463" s="1" t="n">
        <v>45558</v>
      </c>
      <c r="C463" s="1" t="n">
        <v>45788</v>
      </c>
      <c r="D463" t="inlineStr">
        <is>
          <t>VÄSTERBOTTENS LÄN</t>
        </is>
      </c>
      <c r="E463" t="inlineStr">
        <is>
          <t>UMEÅ</t>
        </is>
      </c>
      <c r="F463" t="inlineStr">
        <is>
          <t>Holmen skog AB</t>
        </is>
      </c>
      <c r="G463" t="n">
        <v>4</v>
      </c>
      <c r="H463" t="n">
        <v>1</v>
      </c>
      <c r="I463" t="n">
        <v>2</v>
      </c>
      <c r="J463" t="n">
        <v>4</v>
      </c>
      <c r="K463" t="n">
        <v>0</v>
      </c>
      <c r="L463" t="n">
        <v>0</v>
      </c>
      <c r="M463" t="n">
        <v>0</v>
      </c>
      <c r="N463" t="n">
        <v>0</v>
      </c>
      <c r="O463" t="n">
        <v>4</v>
      </c>
      <c r="P463" t="n">
        <v>0</v>
      </c>
      <c r="Q463" t="n">
        <v>6</v>
      </c>
      <c r="R463" s="2" t="inlineStr">
        <is>
          <t>Granticka
Gränsticka
Talltita
Ullticka
Dropptaggsvamp
Vedticka</t>
        </is>
      </c>
      <c r="S463">
        <f>HYPERLINK("https://klasma.github.io/Logging_2480/artfynd/A 40920-2024 artfynd.xlsx", "A 40920-2024")</f>
        <v/>
      </c>
      <c r="T463">
        <f>HYPERLINK("https://klasma.github.io/Logging_2480/kartor/A 40920-2024 karta.png", "A 40920-2024")</f>
        <v/>
      </c>
      <c r="V463">
        <f>HYPERLINK("https://klasma.github.io/Logging_2480/klagomål/A 40920-2024 FSC-klagomål.docx", "A 40920-2024")</f>
        <v/>
      </c>
      <c r="W463">
        <f>HYPERLINK("https://klasma.github.io/Logging_2480/klagomålsmail/A 40920-2024 FSC-klagomål mail.docx", "A 40920-2024")</f>
        <v/>
      </c>
      <c r="X463">
        <f>HYPERLINK("https://klasma.github.io/Logging_2480/tillsyn/A 40920-2024 tillsynsbegäran.docx", "A 40920-2024")</f>
        <v/>
      </c>
      <c r="Y463">
        <f>HYPERLINK("https://klasma.github.io/Logging_2480/tillsynsmail/A 40920-2024 tillsynsbegäran mail.docx", "A 40920-2024")</f>
        <v/>
      </c>
      <c r="Z463">
        <f>HYPERLINK("https://klasma.github.io/Logging_2480/fåglar/A 40920-2024 prioriterade fågelarter.docx", "A 40920-2024")</f>
        <v/>
      </c>
    </row>
    <row r="464" ht="15" customHeight="1">
      <c r="A464" t="inlineStr">
        <is>
          <t>A 41330-2024</t>
        </is>
      </c>
      <c r="B464" s="1" t="n">
        <v>45559</v>
      </c>
      <c r="C464" s="1" t="n">
        <v>45788</v>
      </c>
      <c r="D464" t="inlineStr">
        <is>
          <t>VÄSTERBOTTENS LÄN</t>
        </is>
      </c>
      <c r="E464" t="inlineStr">
        <is>
          <t>MALÅ</t>
        </is>
      </c>
      <c r="F464" t="inlineStr">
        <is>
          <t>Sveaskog</t>
        </is>
      </c>
      <c r="G464" t="n">
        <v>9.699999999999999</v>
      </c>
      <c r="H464" t="n">
        <v>0</v>
      </c>
      <c r="I464" t="n">
        <v>2</v>
      </c>
      <c r="J464" t="n">
        <v>4</v>
      </c>
      <c r="K464" t="n">
        <v>0</v>
      </c>
      <c r="L464" t="n">
        <v>0</v>
      </c>
      <c r="M464" t="n">
        <v>0</v>
      </c>
      <c r="N464" t="n">
        <v>0</v>
      </c>
      <c r="O464" t="n">
        <v>4</v>
      </c>
      <c r="P464" t="n">
        <v>0</v>
      </c>
      <c r="Q464" t="n">
        <v>6</v>
      </c>
      <c r="R464" s="2" t="inlineStr">
        <is>
          <t>Blå taggsvamp
Kolflarnlav
Orange taggsvamp
Svart taggsvamp
Dropptaggsvamp
Skarp dropptaggsvamp</t>
        </is>
      </c>
      <c r="S464">
        <f>HYPERLINK("https://klasma.github.io/Logging_2418/artfynd/A 41330-2024 artfynd.xlsx", "A 41330-2024")</f>
        <v/>
      </c>
      <c r="T464">
        <f>HYPERLINK("https://klasma.github.io/Logging_2418/kartor/A 41330-2024 karta.png", "A 41330-2024")</f>
        <v/>
      </c>
      <c r="V464">
        <f>HYPERLINK("https://klasma.github.io/Logging_2418/klagomål/A 41330-2024 FSC-klagomål.docx", "A 41330-2024")</f>
        <v/>
      </c>
      <c r="W464">
        <f>HYPERLINK("https://klasma.github.io/Logging_2418/klagomålsmail/A 41330-2024 FSC-klagomål mail.docx", "A 41330-2024")</f>
        <v/>
      </c>
      <c r="X464">
        <f>HYPERLINK("https://klasma.github.io/Logging_2418/tillsyn/A 41330-2024 tillsynsbegäran.docx", "A 41330-2024")</f>
        <v/>
      </c>
      <c r="Y464">
        <f>HYPERLINK("https://klasma.github.io/Logging_2418/tillsynsmail/A 41330-2024 tillsynsbegäran mail.docx", "A 41330-2024")</f>
        <v/>
      </c>
    </row>
    <row r="465" ht="15" customHeight="1">
      <c r="A465" t="inlineStr">
        <is>
          <t>A 44293-2024</t>
        </is>
      </c>
      <c r="B465" s="1" t="n">
        <v>45573</v>
      </c>
      <c r="C465" s="1" t="n">
        <v>45788</v>
      </c>
      <c r="D465" t="inlineStr">
        <is>
          <t>VÄSTERBOTTENS LÄN</t>
        </is>
      </c>
      <c r="E465" t="inlineStr">
        <is>
          <t>LYCKSELE</t>
        </is>
      </c>
      <c r="F465" t="inlineStr">
        <is>
          <t>Sveaskog</t>
        </is>
      </c>
      <c r="G465" t="n">
        <v>15.4</v>
      </c>
      <c r="H465" t="n">
        <v>0</v>
      </c>
      <c r="I465" t="n">
        <v>1</v>
      </c>
      <c r="J465" t="n">
        <v>5</v>
      </c>
      <c r="K465" t="n">
        <v>0</v>
      </c>
      <c r="L465" t="n">
        <v>0</v>
      </c>
      <c r="M465" t="n">
        <v>0</v>
      </c>
      <c r="N465" t="n">
        <v>0</v>
      </c>
      <c r="O465" t="n">
        <v>5</v>
      </c>
      <c r="P465" t="n">
        <v>0</v>
      </c>
      <c r="Q465" t="n">
        <v>6</v>
      </c>
      <c r="R465" s="2" t="inlineStr">
        <is>
          <t>Blå taggsvamp
Kolflarnlav
Mörk kolflarnlav
Orange taggsvamp
Vedflamlav
Dropptaggsvamp</t>
        </is>
      </c>
      <c r="S465">
        <f>HYPERLINK("https://klasma.github.io/Logging_2481/artfynd/A 44293-2024 artfynd.xlsx", "A 44293-2024")</f>
        <v/>
      </c>
      <c r="T465">
        <f>HYPERLINK("https://klasma.github.io/Logging_2481/kartor/A 44293-2024 karta.png", "A 44293-2024")</f>
        <v/>
      </c>
      <c r="V465">
        <f>HYPERLINK("https://klasma.github.io/Logging_2481/klagomål/A 44293-2024 FSC-klagomål.docx", "A 44293-2024")</f>
        <v/>
      </c>
      <c r="W465">
        <f>HYPERLINK("https://klasma.github.io/Logging_2481/klagomålsmail/A 44293-2024 FSC-klagomål mail.docx", "A 44293-2024")</f>
        <v/>
      </c>
      <c r="X465">
        <f>HYPERLINK("https://klasma.github.io/Logging_2481/tillsyn/A 44293-2024 tillsynsbegäran.docx", "A 44293-2024")</f>
        <v/>
      </c>
      <c r="Y465">
        <f>HYPERLINK("https://klasma.github.io/Logging_2481/tillsynsmail/A 44293-2024 tillsynsbegäran mail.docx", "A 44293-2024")</f>
        <v/>
      </c>
    </row>
    <row r="466" ht="15" customHeight="1">
      <c r="A466" t="inlineStr">
        <is>
          <t>A 44833-2024</t>
        </is>
      </c>
      <c r="B466" s="1" t="n">
        <v>45574</v>
      </c>
      <c r="C466" s="1" t="n">
        <v>45788</v>
      </c>
      <c r="D466" t="inlineStr">
        <is>
          <t>VÄSTERBOTTENS LÄN</t>
        </is>
      </c>
      <c r="E466" t="inlineStr">
        <is>
          <t>NORSJÖ</t>
        </is>
      </c>
      <c r="G466" t="n">
        <v>15</v>
      </c>
      <c r="H466" t="n">
        <v>2</v>
      </c>
      <c r="I466" t="n">
        <v>1</v>
      </c>
      <c r="J466" t="n">
        <v>4</v>
      </c>
      <c r="K466" t="n">
        <v>1</v>
      </c>
      <c r="L466" t="n">
        <v>0</v>
      </c>
      <c r="M466" t="n">
        <v>0</v>
      </c>
      <c r="N466" t="n">
        <v>0</v>
      </c>
      <c r="O466" t="n">
        <v>5</v>
      </c>
      <c r="P466" t="n">
        <v>1</v>
      </c>
      <c r="Q466" t="n">
        <v>6</v>
      </c>
      <c r="R466" s="2" t="inlineStr">
        <is>
          <t>Knärot
Gammelgransskål
Garnlav
Granticka
Ullticka
Spindelblomster</t>
        </is>
      </c>
      <c r="S466">
        <f>HYPERLINK("https://klasma.github.io/Logging_2417/artfynd/A 44833-2024 artfynd.xlsx", "A 44833-2024")</f>
        <v/>
      </c>
      <c r="T466">
        <f>HYPERLINK("https://klasma.github.io/Logging_2417/kartor/A 44833-2024 karta.png", "A 44833-2024")</f>
        <v/>
      </c>
      <c r="U466">
        <f>HYPERLINK("https://klasma.github.io/Logging_2417/knärot/A 44833-2024 karta knärot.png", "A 44833-2024")</f>
        <v/>
      </c>
      <c r="V466">
        <f>HYPERLINK("https://klasma.github.io/Logging_2417/klagomål/A 44833-2024 FSC-klagomål.docx", "A 44833-2024")</f>
        <v/>
      </c>
      <c r="W466">
        <f>HYPERLINK("https://klasma.github.io/Logging_2417/klagomålsmail/A 44833-2024 FSC-klagomål mail.docx", "A 44833-2024")</f>
        <v/>
      </c>
      <c r="X466">
        <f>HYPERLINK("https://klasma.github.io/Logging_2417/tillsyn/A 44833-2024 tillsynsbegäran.docx", "A 44833-2024")</f>
        <v/>
      </c>
      <c r="Y466">
        <f>HYPERLINK("https://klasma.github.io/Logging_2417/tillsynsmail/A 44833-2024 tillsynsbegäran mail.docx", "A 44833-2024")</f>
        <v/>
      </c>
    </row>
    <row r="467" ht="15" customHeight="1">
      <c r="A467" t="inlineStr">
        <is>
          <t>A 44874-2024</t>
        </is>
      </c>
      <c r="B467" s="1" t="n">
        <v>45575</v>
      </c>
      <c r="C467" s="1" t="n">
        <v>45788</v>
      </c>
      <c r="D467" t="inlineStr">
        <is>
          <t>VÄSTERBOTTENS LÄN</t>
        </is>
      </c>
      <c r="E467" t="inlineStr">
        <is>
          <t>VILHELMINA</t>
        </is>
      </c>
      <c r="F467" t="inlineStr">
        <is>
          <t>SCA</t>
        </is>
      </c>
      <c r="G467" t="n">
        <v>11.2</v>
      </c>
      <c r="H467" t="n">
        <v>3</v>
      </c>
      <c r="I467" t="n">
        <v>0</v>
      </c>
      <c r="J467" t="n">
        <v>6</v>
      </c>
      <c r="K467" t="n">
        <v>0</v>
      </c>
      <c r="L467" t="n">
        <v>0</v>
      </c>
      <c r="M467" t="n">
        <v>0</v>
      </c>
      <c r="N467" t="n">
        <v>0</v>
      </c>
      <c r="O467" t="n">
        <v>6</v>
      </c>
      <c r="P467" t="n">
        <v>0</v>
      </c>
      <c r="Q467" t="n">
        <v>6</v>
      </c>
      <c r="R467" s="2" t="inlineStr">
        <is>
          <t>Garnlav
Granticka
Järpe
Talltita
Tretåig hackspett
Vitgrynig nållav</t>
        </is>
      </c>
      <c r="S467">
        <f>HYPERLINK("https://klasma.github.io/Logging_2462/artfynd/A 44874-2024 artfynd.xlsx", "A 44874-2024")</f>
        <v/>
      </c>
      <c r="T467">
        <f>HYPERLINK("https://klasma.github.io/Logging_2462/kartor/A 44874-2024 karta.png", "A 44874-2024")</f>
        <v/>
      </c>
      <c r="V467">
        <f>HYPERLINK("https://klasma.github.io/Logging_2462/klagomål/A 44874-2024 FSC-klagomål.docx", "A 44874-2024")</f>
        <v/>
      </c>
      <c r="W467">
        <f>HYPERLINK("https://klasma.github.io/Logging_2462/klagomålsmail/A 44874-2024 FSC-klagomål mail.docx", "A 44874-2024")</f>
        <v/>
      </c>
      <c r="X467">
        <f>HYPERLINK("https://klasma.github.io/Logging_2462/tillsyn/A 44874-2024 tillsynsbegäran.docx", "A 44874-2024")</f>
        <v/>
      </c>
      <c r="Y467">
        <f>HYPERLINK("https://klasma.github.io/Logging_2462/tillsynsmail/A 44874-2024 tillsynsbegäran mail.docx", "A 44874-2024")</f>
        <v/>
      </c>
      <c r="Z467">
        <f>HYPERLINK("https://klasma.github.io/Logging_2462/fåglar/A 44874-2024 prioriterade fågelarter.docx", "A 44874-2024")</f>
        <v/>
      </c>
    </row>
    <row r="468" ht="15" customHeight="1">
      <c r="A468" t="inlineStr">
        <is>
          <t>A 47105-2024</t>
        </is>
      </c>
      <c r="B468" s="1" t="n">
        <v>45586</v>
      </c>
      <c r="C468" s="1" t="n">
        <v>45788</v>
      </c>
      <c r="D468" t="inlineStr">
        <is>
          <t>VÄSTERBOTTENS LÄN</t>
        </is>
      </c>
      <c r="E468" t="inlineStr">
        <is>
          <t>VINDELN</t>
        </is>
      </c>
      <c r="F468" t="inlineStr">
        <is>
          <t>Holmen skog AB</t>
        </is>
      </c>
      <c r="G468" t="n">
        <v>7.1</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47105-2024 artfynd.xlsx", "A 47105-2024")</f>
        <v/>
      </c>
      <c r="T468">
        <f>HYPERLINK("https://klasma.github.io/Logging_2404/kartor/A 47105-2024 karta.png", "A 47105-2024")</f>
        <v/>
      </c>
      <c r="V468">
        <f>HYPERLINK("https://klasma.github.io/Logging_2404/klagomål/A 47105-2024 FSC-klagomål.docx", "A 47105-2024")</f>
        <v/>
      </c>
      <c r="W468">
        <f>HYPERLINK("https://klasma.github.io/Logging_2404/klagomålsmail/A 47105-2024 FSC-klagomål mail.docx", "A 47105-2024")</f>
        <v/>
      </c>
      <c r="X468">
        <f>HYPERLINK("https://klasma.github.io/Logging_2404/tillsyn/A 47105-2024 tillsynsbegäran.docx", "A 47105-2024")</f>
        <v/>
      </c>
      <c r="Y468">
        <f>HYPERLINK("https://klasma.github.io/Logging_2404/tillsynsmail/A 47105-2024 tillsynsbegäran mail.docx", "A 47105-2024")</f>
        <v/>
      </c>
    </row>
    <row r="469" ht="15" customHeight="1">
      <c r="A469" t="inlineStr">
        <is>
          <t>A 50261-2024</t>
        </is>
      </c>
      <c r="B469" s="1" t="n">
        <v>45600</v>
      </c>
      <c r="C469" s="1" t="n">
        <v>45788</v>
      </c>
      <c r="D469" t="inlineStr">
        <is>
          <t>VÄSTERBOTTENS LÄN</t>
        </is>
      </c>
      <c r="E469" t="inlineStr">
        <is>
          <t>NORSJÖ</t>
        </is>
      </c>
      <c r="F469" t="inlineStr">
        <is>
          <t>Holmen skog AB</t>
        </is>
      </c>
      <c r="G469" t="n">
        <v>6</v>
      </c>
      <c r="H469" t="n">
        <v>1</v>
      </c>
      <c r="I469" t="n">
        <v>3</v>
      </c>
      <c r="J469" t="n">
        <v>2</v>
      </c>
      <c r="K469" t="n">
        <v>1</v>
      </c>
      <c r="L469" t="n">
        <v>0</v>
      </c>
      <c r="M469" t="n">
        <v>0</v>
      </c>
      <c r="N469" t="n">
        <v>0</v>
      </c>
      <c r="O469" t="n">
        <v>3</v>
      </c>
      <c r="P469" t="n">
        <v>1</v>
      </c>
      <c r="Q469" t="n">
        <v>6</v>
      </c>
      <c r="R469" s="2" t="inlineStr">
        <is>
          <t>Knärot
Gammelgransskål
Vaddporing
Dropptaggsvamp
Skinnlav
Vedticka</t>
        </is>
      </c>
      <c r="S469">
        <f>HYPERLINK("https://klasma.github.io/Logging_2417/artfynd/A 50261-2024 artfynd.xlsx", "A 50261-2024")</f>
        <v/>
      </c>
      <c r="T469">
        <f>HYPERLINK("https://klasma.github.io/Logging_2417/kartor/A 50261-2024 karta.png", "A 50261-2024")</f>
        <v/>
      </c>
      <c r="U469">
        <f>HYPERLINK("https://klasma.github.io/Logging_2417/knärot/A 50261-2024 karta knärot.png", "A 50261-2024")</f>
        <v/>
      </c>
      <c r="V469">
        <f>HYPERLINK("https://klasma.github.io/Logging_2417/klagomål/A 50261-2024 FSC-klagomål.docx", "A 50261-2024")</f>
        <v/>
      </c>
      <c r="W469">
        <f>HYPERLINK("https://klasma.github.io/Logging_2417/klagomålsmail/A 50261-2024 FSC-klagomål mail.docx", "A 50261-2024")</f>
        <v/>
      </c>
      <c r="X469">
        <f>HYPERLINK("https://klasma.github.io/Logging_2417/tillsyn/A 50261-2024 tillsynsbegäran.docx", "A 50261-2024")</f>
        <v/>
      </c>
      <c r="Y469">
        <f>HYPERLINK("https://klasma.github.io/Logging_2417/tillsynsmail/A 50261-2024 tillsynsbegäran mail.docx", "A 50261-2024")</f>
        <v/>
      </c>
    </row>
    <row r="470" ht="15" customHeight="1">
      <c r="A470" t="inlineStr">
        <is>
          <t>A 51569-2024</t>
        </is>
      </c>
      <c r="B470" s="1" t="n">
        <v>45604</v>
      </c>
      <c r="C470" s="1" t="n">
        <v>45788</v>
      </c>
      <c r="D470" t="inlineStr">
        <is>
          <t>VÄSTERBOTTENS LÄN</t>
        </is>
      </c>
      <c r="E470" t="inlineStr">
        <is>
          <t>VINDELN</t>
        </is>
      </c>
      <c r="F470" t="inlineStr">
        <is>
          <t>Holmen skog AB</t>
        </is>
      </c>
      <c r="G470" t="n">
        <v>7.3</v>
      </c>
      <c r="H470" t="n">
        <v>0</v>
      </c>
      <c r="I470" t="n">
        <v>1</v>
      </c>
      <c r="J470" t="n">
        <v>5</v>
      </c>
      <c r="K470" t="n">
        <v>0</v>
      </c>
      <c r="L470" t="n">
        <v>0</v>
      </c>
      <c r="M470" t="n">
        <v>0</v>
      </c>
      <c r="N470" t="n">
        <v>0</v>
      </c>
      <c r="O470" t="n">
        <v>5</v>
      </c>
      <c r="P470" t="n">
        <v>0</v>
      </c>
      <c r="Q470" t="n">
        <v>6</v>
      </c>
      <c r="R470" s="2" t="inlineStr">
        <is>
          <t>Blanksvart spiklav
Blågrå svartspik
Kolflarnlav
Vedskivlav
Vitgrynig nållav
Dropptaggsvamp</t>
        </is>
      </c>
      <c r="S470">
        <f>HYPERLINK("https://klasma.github.io/Logging_2404/artfynd/A 51569-2024 artfynd.xlsx", "A 51569-2024")</f>
        <v/>
      </c>
      <c r="T470">
        <f>HYPERLINK("https://klasma.github.io/Logging_2404/kartor/A 51569-2024 karta.png", "A 51569-2024")</f>
        <v/>
      </c>
      <c r="V470">
        <f>HYPERLINK("https://klasma.github.io/Logging_2404/klagomål/A 51569-2024 FSC-klagomål.docx", "A 51569-2024")</f>
        <v/>
      </c>
      <c r="W470">
        <f>HYPERLINK("https://klasma.github.io/Logging_2404/klagomålsmail/A 51569-2024 FSC-klagomål mail.docx", "A 51569-2024")</f>
        <v/>
      </c>
      <c r="X470">
        <f>HYPERLINK("https://klasma.github.io/Logging_2404/tillsyn/A 51569-2024 tillsynsbegäran.docx", "A 51569-2024")</f>
        <v/>
      </c>
      <c r="Y470">
        <f>HYPERLINK("https://klasma.github.io/Logging_2404/tillsynsmail/A 51569-2024 tillsynsbegäran mail.docx", "A 51569-2024")</f>
        <v/>
      </c>
    </row>
    <row r="471" ht="15" customHeight="1">
      <c r="A471" t="inlineStr">
        <is>
          <t>A 55073-2024</t>
        </is>
      </c>
      <c r="B471" s="1" t="n">
        <v>45621</v>
      </c>
      <c r="C471" s="1" t="n">
        <v>45788</v>
      </c>
      <c r="D471" t="inlineStr">
        <is>
          <t>VÄSTERBOTTENS LÄN</t>
        </is>
      </c>
      <c r="E471" t="inlineStr">
        <is>
          <t>SKELLEFTEÅ</t>
        </is>
      </c>
      <c r="F471" t="inlineStr">
        <is>
          <t>Sveaskog</t>
        </is>
      </c>
      <c r="G471" t="n">
        <v>11.5</v>
      </c>
      <c r="H471" t="n">
        <v>1</v>
      </c>
      <c r="I471" t="n">
        <v>2</v>
      </c>
      <c r="J471" t="n">
        <v>4</v>
      </c>
      <c r="K471" t="n">
        <v>0</v>
      </c>
      <c r="L471" t="n">
        <v>0</v>
      </c>
      <c r="M471" t="n">
        <v>0</v>
      </c>
      <c r="N471" t="n">
        <v>0</v>
      </c>
      <c r="O471" t="n">
        <v>4</v>
      </c>
      <c r="P471" t="n">
        <v>0</v>
      </c>
      <c r="Q471" t="n">
        <v>6</v>
      </c>
      <c r="R471" s="2" t="inlineStr">
        <is>
          <t>Garnlav
Granticka
Lunglav
Talltita
Skinnlav
Stuplav</t>
        </is>
      </c>
      <c r="S471">
        <f>HYPERLINK("https://klasma.github.io/Logging_2482/artfynd/A 55073-2024 artfynd.xlsx", "A 55073-2024")</f>
        <v/>
      </c>
      <c r="T471">
        <f>HYPERLINK("https://klasma.github.io/Logging_2482/kartor/A 55073-2024 karta.png", "A 55073-2024")</f>
        <v/>
      </c>
      <c r="V471">
        <f>HYPERLINK("https://klasma.github.io/Logging_2482/klagomål/A 55073-2024 FSC-klagomål.docx", "A 55073-2024")</f>
        <v/>
      </c>
      <c r="W471">
        <f>HYPERLINK("https://klasma.github.io/Logging_2482/klagomålsmail/A 55073-2024 FSC-klagomål mail.docx", "A 55073-2024")</f>
        <v/>
      </c>
      <c r="X471">
        <f>HYPERLINK("https://klasma.github.io/Logging_2482/tillsyn/A 55073-2024 tillsynsbegäran.docx", "A 55073-2024")</f>
        <v/>
      </c>
      <c r="Y471">
        <f>HYPERLINK("https://klasma.github.io/Logging_2482/tillsynsmail/A 55073-2024 tillsynsbegäran mail.docx", "A 55073-2024")</f>
        <v/>
      </c>
      <c r="Z471">
        <f>HYPERLINK("https://klasma.github.io/Logging_2482/fåglar/A 55073-2024 prioriterade fågelarter.docx", "A 55073-2024")</f>
        <v/>
      </c>
    </row>
    <row r="472" ht="15" customHeight="1">
      <c r="A472" t="inlineStr">
        <is>
          <t>A 56645-2024</t>
        </is>
      </c>
      <c r="B472" s="1" t="n">
        <v>45625</v>
      </c>
      <c r="C472" s="1" t="n">
        <v>45788</v>
      </c>
      <c r="D472" t="inlineStr">
        <is>
          <t>VÄSTERBOTTENS LÄN</t>
        </is>
      </c>
      <c r="E472" t="inlineStr">
        <is>
          <t>SKELLEFTEÅ</t>
        </is>
      </c>
      <c r="F472" t="inlineStr">
        <is>
          <t>Sveaskog</t>
        </is>
      </c>
      <c r="G472" t="n">
        <v>7.5</v>
      </c>
      <c r="H472" t="n">
        <v>1</v>
      </c>
      <c r="I472" t="n">
        <v>1</v>
      </c>
      <c r="J472" t="n">
        <v>4</v>
      </c>
      <c r="K472" t="n">
        <v>1</v>
      </c>
      <c r="L472" t="n">
        <v>0</v>
      </c>
      <c r="M472" t="n">
        <v>0</v>
      </c>
      <c r="N472" t="n">
        <v>0</v>
      </c>
      <c r="O472" t="n">
        <v>5</v>
      </c>
      <c r="P472" t="n">
        <v>1</v>
      </c>
      <c r="Q472" t="n">
        <v>6</v>
      </c>
      <c r="R472" s="2" t="inlineStr">
        <is>
          <t>Doftticka
Garnlav
Leptoporus mollis
Lunglav
Ullticka
Bårdlav</t>
        </is>
      </c>
      <c r="S472">
        <f>HYPERLINK("https://klasma.github.io/Logging_2482/artfynd/A 56645-2024 artfynd.xlsx", "A 56645-2024")</f>
        <v/>
      </c>
      <c r="T472">
        <f>HYPERLINK("https://klasma.github.io/Logging_2482/kartor/A 56645-2024 karta.png", "A 56645-2024")</f>
        <v/>
      </c>
      <c r="V472">
        <f>HYPERLINK("https://klasma.github.io/Logging_2482/klagomål/A 56645-2024 FSC-klagomål.docx", "A 56645-2024")</f>
        <v/>
      </c>
      <c r="W472">
        <f>HYPERLINK("https://klasma.github.io/Logging_2482/klagomålsmail/A 56645-2024 FSC-klagomål mail.docx", "A 56645-2024")</f>
        <v/>
      </c>
      <c r="X472">
        <f>HYPERLINK("https://klasma.github.io/Logging_2482/tillsyn/A 56645-2024 tillsynsbegäran.docx", "A 56645-2024")</f>
        <v/>
      </c>
      <c r="Y472">
        <f>HYPERLINK("https://klasma.github.io/Logging_2482/tillsynsmail/A 56645-2024 tillsynsbegäran mail.docx", "A 56645-2024")</f>
        <v/>
      </c>
    </row>
    <row r="473" ht="15" customHeight="1">
      <c r="A473" t="inlineStr">
        <is>
          <t>A 57099-2024</t>
        </is>
      </c>
      <c r="B473" s="1" t="n">
        <v>45629</v>
      </c>
      <c r="C473" s="1" t="n">
        <v>45788</v>
      </c>
      <c r="D473" t="inlineStr">
        <is>
          <t>VÄSTERBOTTENS LÄN</t>
        </is>
      </c>
      <c r="E473" t="inlineStr">
        <is>
          <t>VILHELMINA</t>
        </is>
      </c>
      <c r="F473" t="inlineStr">
        <is>
          <t>SCA</t>
        </is>
      </c>
      <c r="G473" t="n">
        <v>2.1</v>
      </c>
      <c r="H473" t="n">
        <v>2</v>
      </c>
      <c r="I473" t="n">
        <v>0</v>
      </c>
      <c r="J473" t="n">
        <v>5</v>
      </c>
      <c r="K473" t="n">
        <v>0</v>
      </c>
      <c r="L473" t="n">
        <v>0</v>
      </c>
      <c r="M473" t="n">
        <v>0</v>
      </c>
      <c r="N473" t="n">
        <v>0</v>
      </c>
      <c r="O473" t="n">
        <v>5</v>
      </c>
      <c r="P473" t="n">
        <v>0</v>
      </c>
      <c r="Q473" t="n">
        <v>6</v>
      </c>
      <c r="R473" s="2" t="inlineStr">
        <is>
          <t>Gammelgransskål
Garnlav
Rosenticka
Tretåig hackspett
Ullticka
Orre</t>
        </is>
      </c>
      <c r="S473">
        <f>HYPERLINK("https://klasma.github.io/Logging_2462/artfynd/A 57099-2024 artfynd.xlsx", "A 57099-2024")</f>
        <v/>
      </c>
      <c r="T473">
        <f>HYPERLINK("https://klasma.github.io/Logging_2462/kartor/A 57099-2024 karta.png", "A 57099-2024")</f>
        <v/>
      </c>
      <c r="V473">
        <f>HYPERLINK("https://klasma.github.io/Logging_2462/klagomål/A 57099-2024 FSC-klagomål.docx", "A 57099-2024")</f>
        <v/>
      </c>
      <c r="W473">
        <f>HYPERLINK("https://klasma.github.io/Logging_2462/klagomålsmail/A 57099-2024 FSC-klagomål mail.docx", "A 57099-2024")</f>
        <v/>
      </c>
      <c r="X473">
        <f>HYPERLINK("https://klasma.github.io/Logging_2462/tillsyn/A 57099-2024 tillsynsbegäran.docx", "A 57099-2024")</f>
        <v/>
      </c>
      <c r="Y473">
        <f>HYPERLINK("https://klasma.github.io/Logging_2462/tillsynsmail/A 57099-2024 tillsynsbegäran mail.docx", "A 57099-2024")</f>
        <v/>
      </c>
      <c r="Z473">
        <f>HYPERLINK("https://klasma.github.io/Logging_2462/fåglar/A 57099-2024 prioriterade fågelarter.docx", "A 57099-2024")</f>
        <v/>
      </c>
    </row>
    <row r="474" ht="15" customHeight="1">
      <c r="A474" t="inlineStr">
        <is>
          <t>A 58922-2024</t>
        </is>
      </c>
      <c r="B474" s="1" t="n">
        <v>45635</v>
      </c>
      <c r="C474" s="1" t="n">
        <v>45788</v>
      </c>
      <c r="D474" t="inlineStr">
        <is>
          <t>VÄSTERBOTTENS LÄN</t>
        </is>
      </c>
      <c r="E474" t="inlineStr">
        <is>
          <t>STORUMAN</t>
        </is>
      </c>
      <c r="F474" t="inlineStr">
        <is>
          <t>Allmännings- och besparingsskogar</t>
        </is>
      </c>
      <c r="G474" t="n">
        <v>157</v>
      </c>
      <c r="H474" t="n">
        <v>0</v>
      </c>
      <c r="I474" t="n">
        <v>0</v>
      </c>
      <c r="J474" t="n">
        <v>5</v>
      </c>
      <c r="K474" t="n">
        <v>1</v>
      </c>
      <c r="L474" t="n">
        <v>0</v>
      </c>
      <c r="M474" t="n">
        <v>0</v>
      </c>
      <c r="N474" t="n">
        <v>0</v>
      </c>
      <c r="O474" t="n">
        <v>6</v>
      </c>
      <c r="P474" t="n">
        <v>1</v>
      </c>
      <c r="Q474" t="n">
        <v>6</v>
      </c>
      <c r="R474" s="2" t="inlineStr">
        <is>
          <t>Rynkskinn
Granticka
Gränsticka
Harticka
Rosenticka
Ullticka</t>
        </is>
      </c>
      <c r="S474">
        <f>HYPERLINK("https://klasma.github.io/Logging_2421/artfynd/A 58922-2024 artfynd.xlsx", "A 58922-2024")</f>
        <v/>
      </c>
      <c r="T474">
        <f>HYPERLINK("https://klasma.github.io/Logging_2421/kartor/A 58922-2024 karta.png", "A 58922-2024")</f>
        <v/>
      </c>
      <c r="V474">
        <f>HYPERLINK("https://klasma.github.io/Logging_2421/klagomål/A 58922-2024 FSC-klagomål.docx", "A 58922-2024")</f>
        <v/>
      </c>
      <c r="W474">
        <f>HYPERLINK("https://klasma.github.io/Logging_2421/klagomålsmail/A 58922-2024 FSC-klagomål mail.docx", "A 58922-2024")</f>
        <v/>
      </c>
      <c r="X474">
        <f>HYPERLINK("https://klasma.github.io/Logging_2421/tillsyn/A 58922-2024 tillsynsbegäran.docx", "A 58922-2024")</f>
        <v/>
      </c>
      <c r="Y474">
        <f>HYPERLINK("https://klasma.github.io/Logging_2421/tillsynsmail/A 58922-2024 tillsynsbegäran mail.docx", "A 58922-2024")</f>
        <v/>
      </c>
    </row>
    <row r="475" ht="15" customHeight="1">
      <c r="A475" t="inlineStr">
        <is>
          <t>A 1948-2025</t>
        </is>
      </c>
      <c r="B475" s="1" t="n">
        <v>45672</v>
      </c>
      <c r="C475" s="1" t="n">
        <v>45788</v>
      </c>
      <c r="D475" t="inlineStr">
        <is>
          <t>VÄSTERBOTTENS LÄN</t>
        </is>
      </c>
      <c r="E475" t="inlineStr">
        <is>
          <t>DOROTEA</t>
        </is>
      </c>
      <c r="F475" t="inlineStr">
        <is>
          <t>SCA</t>
        </is>
      </c>
      <c r="G475" t="n">
        <v>20.3</v>
      </c>
      <c r="H475" t="n">
        <v>1</v>
      </c>
      <c r="I475" t="n">
        <v>0</v>
      </c>
      <c r="J475" t="n">
        <v>5</v>
      </c>
      <c r="K475" t="n">
        <v>1</v>
      </c>
      <c r="L475" t="n">
        <v>0</v>
      </c>
      <c r="M475" t="n">
        <v>0</v>
      </c>
      <c r="N475" t="n">
        <v>0</v>
      </c>
      <c r="O475" t="n">
        <v>6</v>
      </c>
      <c r="P475" t="n">
        <v>1</v>
      </c>
      <c r="Q475" t="n">
        <v>6</v>
      </c>
      <c r="R475" s="2" t="inlineStr">
        <is>
          <t>Ostticka
Garnlav
Granticka
Harticka
Tretåig hackspett
Ullticka</t>
        </is>
      </c>
      <c r="S475">
        <f>HYPERLINK("https://klasma.github.io/Logging_2425/artfynd/A 1948-2025 artfynd.xlsx", "A 1948-2025")</f>
        <v/>
      </c>
      <c r="T475">
        <f>HYPERLINK("https://klasma.github.io/Logging_2425/kartor/A 1948-2025 karta.png", "A 1948-2025")</f>
        <v/>
      </c>
      <c r="V475">
        <f>HYPERLINK("https://klasma.github.io/Logging_2425/klagomål/A 1948-2025 FSC-klagomål.docx", "A 1948-2025")</f>
        <v/>
      </c>
      <c r="W475">
        <f>HYPERLINK("https://klasma.github.io/Logging_2425/klagomålsmail/A 1948-2025 FSC-klagomål mail.docx", "A 1948-2025")</f>
        <v/>
      </c>
      <c r="X475">
        <f>HYPERLINK("https://klasma.github.io/Logging_2425/tillsyn/A 1948-2025 tillsynsbegäran.docx", "A 1948-2025")</f>
        <v/>
      </c>
      <c r="Y475">
        <f>HYPERLINK("https://klasma.github.io/Logging_2425/tillsynsmail/A 1948-2025 tillsynsbegäran mail.docx", "A 1948-2025")</f>
        <v/>
      </c>
      <c r="Z475">
        <f>HYPERLINK("https://klasma.github.io/Logging_2425/fåglar/A 1948-2025 prioriterade fågelarter.docx", "A 1948-2025")</f>
        <v/>
      </c>
    </row>
    <row r="476" ht="15" customHeight="1">
      <c r="A476" t="inlineStr">
        <is>
          <t>A 4008-2025</t>
        </is>
      </c>
      <c r="B476" s="1" t="n">
        <v>45684</v>
      </c>
      <c r="C476" s="1" t="n">
        <v>45788</v>
      </c>
      <c r="D476" t="inlineStr">
        <is>
          <t>VÄSTERBOTTENS LÄN</t>
        </is>
      </c>
      <c r="E476" t="inlineStr">
        <is>
          <t>NORSJÖ</t>
        </is>
      </c>
      <c r="F476" t="inlineStr">
        <is>
          <t>Sveaskog</t>
        </is>
      </c>
      <c r="G476" t="n">
        <v>16.4</v>
      </c>
      <c r="H476" t="n">
        <v>1</v>
      </c>
      <c r="I476" t="n">
        <v>2</v>
      </c>
      <c r="J476" t="n">
        <v>3</v>
      </c>
      <c r="K476" t="n">
        <v>0</v>
      </c>
      <c r="L476" t="n">
        <v>0</v>
      </c>
      <c r="M476" t="n">
        <v>0</v>
      </c>
      <c r="N476" t="n">
        <v>0</v>
      </c>
      <c r="O476" t="n">
        <v>3</v>
      </c>
      <c r="P476" t="n">
        <v>0</v>
      </c>
      <c r="Q476" t="n">
        <v>6</v>
      </c>
      <c r="R476" s="2" t="inlineStr">
        <is>
          <t>Blå taggsvamp
Motaggsvamp
Svart taggsvamp
Dropptaggsvamp
Skarp dropptaggsvamp
Lavskrika</t>
        </is>
      </c>
      <c r="S476">
        <f>HYPERLINK("https://klasma.github.io/Logging_2417/artfynd/A 4008-2025 artfynd.xlsx", "A 4008-2025")</f>
        <v/>
      </c>
      <c r="T476">
        <f>HYPERLINK("https://klasma.github.io/Logging_2417/kartor/A 4008-2025 karta.png", "A 4008-2025")</f>
        <v/>
      </c>
      <c r="V476">
        <f>HYPERLINK("https://klasma.github.io/Logging_2417/klagomål/A 4008-2025 FSC-klagomål.docx", "A 4008-2025")</f>
        <v/>
      </c>
      <c r="W476">
        <f>HYPERLINK("https://klasma.github.io/Logging_2417/klagomålsmail/A 4008-2025 FSC-klagomål mail.docx", "A 4008-2025")</f>
        <v/>
      </c>
      <c r="X476">
        <f>HYPERLINK("https://klasma.github.io/Logging_2417/tillsyn/A 4008-2025 tillsynsbegäran.docx", "A 4008-2025")</f>
        <v/>
      </c>
      <c r="Y476">
        <f>HYPERLINK("https://klasma.github.io/Logging_2417/tillsynsmail/A 4008-2025 tillsynsbegäran mail.docx", "A 4008-2025")</f>
        <v/>
      </c>
      <c r="Z476">
        <f>HYPERLINK("https://klasma.github.io/Logging_2417/fåglar/A 4008-2025 prioriterade fågelarter.docx", "A 4008-2025")</f>
        <v/>
      </c>
    </row>
    <row r="477" ht="15" customHeight="1">
      <c r="A477" t="inlineStr">
        <is>
          <t>A 7050-2025</t>
        </is>
      </c>
      <c r="B477" s="1" t="n">
        <v>45701</v>
      </c>
      <c r="C477" s="1" t="n">
        <v>45788</v>
      </c>
      <c r="D477" t="inlineStr">
        <is>
          <t>VÄSTERBOTTENS LÄN</t>
        </is>
      </c>
      <c r="E477" t="inlineStr">
        <is>
          <t>UMEÅ</t>
        </is>
      </c>
      <c r="G477" t="n">
        <v>0.7</v>
      </c>
      <c r="H477" t="n">
        <v>1</v>
      </c>
      <c r="I477" t="n">
        <v>1</v>
      </c>
      <c r="J477" t="n">
        <v>5</v>
      </c>
      <c r="K477" t="n">
        <v>0</v>
      </c>
      <c r="L477" t="n">
        <v>0</v>
      </c>
      <c r="M477" t="n">
        <v>0</v>
      </c>
      <c r="N477" t="n">
        <v>0</v>
      </c>
      <c r="O477" t="n">
        <v>5</v>
      </c>
      <c r="P477" t="n">
        <v>0</v>
      </c>
      <c r="Q477" t="n">
        <v>6</v>
      </c>
      <c r="R477" s="2" t="inlineStr">
        <is>
          <t>Granticka
Koralltaggsvamp
Leptoporus mollis
Spillkråka
Ullticka
Vedticka</t>
        </is>
      </c>
      <c r="S477">
        <f>HYPERLINK("https://klasma.github.io/Logging_2480/artfynd/A 7050-2025 artfynd.xlsx", "A 7050-2025")</f>
        <v/>
      </c>
      <c r="T477">
        <f>HYPERLINK("https://klasma.github.io/Logging_2480/kartor/A 7050-2025 karta.png", "A 7050-2025")</f>
        <v/>
      </c>
      <c r="V477">
        <f>HYPERLINK("https://klasma.github.io/Logging_2480/klagomål/A 7050-2025 FSC-klagomål.docx", "A 7050-2025")</f>
        <v/>
      </c>
      <c r="W477">
        <f>HYPERLINK("https://klasma.github.io/Logging_2480/klagomålsmail/A 7050-2025 FSC-klagomål mail.docx", "A 7050-2025")</f>
        <v/>
      </c>
      <c r="X477">
        <f>HYPERLINK("https://klasma.github.io/Logging_2480/tillsyn/A 7050-2025 tillsynsbegäran.docx", "A 7050-2025")</f>
        <v/>
      </c>
      <c r="Y477">
        <f>HYPERLINK("https://klasma.github.io/Logging_2480/tillsynsmail/A 7050-2025 tillsynsbegäran mail.docx", "A 7050-2025")</f>
        <v/>
      </c>
      <c r="Z477">
        <f>HYPERLINK("https://klasma.github.io/Logging_2480/fåglar/A 7050-2025 prioriterade fågelarter.docx", "A 7050-2025")</f>
        <v/>
      </c>
    </row>
    <row r="478" ht="15" customHeight="1">
      <c r="A478" t="inlineStr">
        <is>
          <t>A 8562-2025</t>
        </is>
      </c>
      <c r="B478" s="1" t="n">
        <v>45709</v>
      </c>
      <c r="C478" s="1" t="n">
        <v>45788</v>
      </c>
      <c r="D478" t="inlineStr">
        <is>
          <t>VÄSTERBOTTENS LÄN</t>
        </is>
      </c>
      <c r="E478" t="inlineStr">
        <is>
          <t>VILHELMINA</t>
        </is>
      </c>
      <c r="G478" t="n">
        <v>3.1</v>
      </c>
      <c r="H478" t="n">
        <v>0</v>
      </c>
      <c r="I478" t="n">
        <v>0</v>
      </c>
      <c r="J478" t="n">
        <v>6</v>
      </c>
      <c r="K478" t="n">
        <v>0</v>
      </c>
      <c r="L478" t="n">
        <v>0</v>
      </c>
      <c r="M478" t="n">
        <v>0</v>
      </c>
      <c r="N478" t="n">
        <v>0</v>
      </c>
      <c r="O478" t="n">
        <v>6</v>
      </c>
      <c r="P478" t="n">
        <v>0</v>
      </c>
      <c r="Q478" t="n">
        <v>6</v>
      </c>
      <c r="R478" s="2" t="inlineStr">
        <is>
          <t>Blanksvart spiklav
Garnlav
Granticka
Harticka
Vedtrappmossa
Vitgrynig nållav</t>
        </is>
      </c>
      <c r="S478">
        <f>HYPERLINK("https://klasma.github.io/Logging_2462/artfynd/A 8562-2025 artfynd.xlsx", "A 8562-2025")</f>
        <v/>
      </c>
      <c r="T478">
        <f>HYPERLINK("https://klasma.github.io/Logging_2462/kartor/A 8562-2025 karta.png", "A 8562-2025")</f>
        <v/>
      </c>
      <c r="V478">
        <f>HYPERLINK("https://klasma.github.io/Logging_2462/klagomål/A 8562-2025 FSC-klagomål.docx", "A 8562-2025")</f>
        <v/>
      </c>
      <c r="W478">
        <f>HYPERLINK("https://klasma.github.io/Logging_2462/klagomålsmail/A 8562-2025 FSC-klagomål mail.docx", "A 8562-2025")</f>
        <v/>
      </c>
      <c r="X478">
        <f>HYPERLINK("https://klasma.github.io/Logging_2462/tillsyn/A 8562-2025 tillsynsbegäran.docx", "A 8562-2025")</f>
        <v/>
      </c>
      <c r="Y478">
        <f>HYPERLINK("https://klasma.github.io/Logging_2462/tillsynsmail/A 8562-2025 tillsynsbegäran mail.docx", "A 8562-2025")</f>
        <v/>
      </c>
    </row>
    <row r="479" ht="15" customHeight="1">
      <c r="A479" t="inlineStr">
        <is>
          <t>A 9217-2025</t>
        </is>
      </c>
      <c r="B479" s="1" t="n">
        <v>45714</v>
      </c>
      <c r="C479" s="1" t="n">
        <v>45788</v>
      </c>
      <c r="D479" t="inlineStr">
        <is>
          <t>VÄSTERBOTTENS LÄN</t>
        </is>
      </c>
      <c r="E479" t="inlineStr">
        <is>
          <t>STORUMAN</t>
        </is>
      </c>
      <c r="G479" t="n">
        <v>49.9</v>
      </c>
      <c r="H479" t="n">
        <v>0</v>
      </c>
      <c r="I479" t="n">
        <v>0</v>
      </c>
      <c r="J479" t="n">
        <v>6</v>
      </c>
      <c r="K479" t="n">
        <v>0</v>
      </c>
      <c r="L479" t="n">
        <v>0</v>
      </c>
      <c r="M479" t="n">
        <v>0</v>
      </c>
      <c r="N479" t="n">
        <v>0</v>
      </c>
      <c r="O479" t="n">
        <v>6</v>
      </c>
      <c r="P479" t="n">
        <v>0</v>
      </c>
      <c r="Q479" t="n">
        <v>6</v>
      </c>
      <c r="R479" s="2" t="inlineStr">
        <is>
          <t>Gammelgransskål
Garnlav
Gränsticka
Lunglav
Rosenticka
Skrovellav</t>
        </is>
      </c>
      <c r="S479">
        <f>HYPERLINK("https://klasma.github.io/Logging_2421/artfynd/A 9217-2025 artfynd.xlsx", "A 9217-2025")</f>
        <v/>
      </c>
      <c r="T479">
        <f>HYPERLINK("https://klasma.github.io/Logging_2421/kartor/A 9217-2025 karta.png", "A 9217-2025")</f>
        <v/>
      </c>
      <c r="V479">
        <f>HYPERLINK("https://klasma.github.io/Logging_2421/klagomål/A 9217-2025 FSC-klagomål.docx", "A 9217-2025")</f>
        <v/>
      </c>
      <c r="W479">
        <f>HYPERLINK("https://klasma.github.io/Logging_2421/klagomålsmail/A 9217-2025 FSC-klagomål mail.docx", "A 9217-2025")</f>
        <v/>
      </c>
      <c r="X479">
        <f>HYPERLINK("https://klasma.github.io/Logging_2421/tillsyn/A 9217-2025 tillsynsbegäran.docx", "A 9217-2025")</f>
        <v/>
      </c>
      <c r="Y479">
        <f>HYPERLINK("https://klasma.github.io/Logging_2421/tillsynsmail/A 9217-2025 tillsynsbegäran mail.docx", "A 9217-2025")</f>
        <v/>
      </c>
    </row>
    <row r="480" ht="15" customHeight="1">
      <c r="A480" t="inlineStr">
        <is>
          <t>A 13630-2025</t>
        </is>
      </c>
      <c r="B480" s="1" t="n">
        <v>45736</v>
      </c>
      <c r="C480" s="1" t="n">
        <v>45788</v>
      </c>
      <c r="D480" t="inlineStr">
        <is>
          <t>VÄSTERBOTTENS LÄN</t>
        </is>
      </c>
      <c r="E480" t="inlineStr">
        <is>
          <t>UMEÅ</t>
        </is>
      </c>
      <c r="F480" t="inlineStr">
        <is>
          <t>Kommuner</t>
        </is>
      </c>
      <c r="G480" t="n">
        <v>1.9</v>
      </c>
      <c r="H480" t="n">
        <v>2</v>
      </c>
      <c r="I480" t="n">
        <v>2</v>
      </c>
      <c r="J480" t="n">
        <v>4</v>
      </c>
      <c r="K480" t="n">
        <v>0</v>
      </c>
      <c r="L480" t="n">
        <v>0</v>
      </c>
      <c r="M480" t="n">
        <v>0</v>
      </c>
      <c r="N480" t="n">
        <v>0</v>
      </c>
      <c r="O480" t="n">
        <v>4</v>
      </c>
      <c r="P480" t="n">
        <v>0</v>
      </c>
      <c r="Q480" t="n">
        <v>6</v>
      </c>
      <c r="R480" s="2" t="inlineStr">
        <is>
          <t>Granticka
Harticka
Spillkråka
Tretåig hackspett
Thomsons trägnagare
Vedticka</t>
        </is>
      </c>
      <c r="S480">
        <f>HYPERLINK("https://klasma.github.io/Logging_242480/artfynd/A 13630-2025 artfynd.xlsx", "A 13630-2025")</f>
        <v/>
      </c>
      <c r="T480">
        <f>HYPERLINK("https://klasma.github.io/Logging_242480/kartor/A 13630-2025 karta.png", "A 13630-2025")</f>
        <v/>
      </c>
      <c r="V480">
        <f>HYPERLINK("https://klasma.github.io/Logging_242480/klagomål/A 13630-2025 FSC-klagomål.docx", "A 13630-2025")</f>
        <v/>
      </c>
      <c r="W480">
        <f>HYPERLINK("https://klasma.github.io/Logging_242480/klagomålsmail/A 13630-2025 FSC-klagomål mail.docx", "A 13630-2025")</f>
        <v/>
      </c>
      <c r="X480">
        <f>HYPERLINK("https://klasma.github.io/Logging_242480/tillsyn/A 13630-2025 tillsynsbegäran.docx", "A 13630-2025")</f>
        <v/>
      </c>
      <c r="Y480">
        <f>HYPERLINK("https://klasma.github.io/Logging_242480/tillsynsmail/A 13630-2025 tillsynsbegäran mail.docx", "A 13630-2025")</f>
        <v/>
      </c>
      <c r="Z480">
        <f>HYPERLINK("https://klasma.github.io/Logging_242480/fåglar/A 13630-2025 prioriterade fågelarter.docx", "A 13630-2025")</f>
        <v/>
      </c>
    </row>
    <row r="481" ht="15" customHeight="1">
      <c r="A481" t="inlineStr">
        <is>
          <t>A 18046-2025</t>
        </is>
      </c>
      <c r="B481" s="1" t="n">
        <v>45761</v>
      </c>
      <c r="C481" s="1" t="n">
        <v>45788</v>
      </c>
      <c r="D481" t="inlineStr">
        <is>
          <t>VÄSTERBOTTENS LÄN</t>
        </is>
      </c>
      <c r="E481" t="inlineStr">
        <is>
          <t>BJURHOLM</t>
        </is>
      </c>
      <c r="G481" t="n">
        <v>10.9</v>
      </c>
      <c r="H481" t="n">
        <v>2</v>
      </c>
      <c r="I481" t="n">
        <v>2</v>
      </c>
      <c r="J481" t="n">
        <v>3</v>
      </c>
      <c r="K481" t="n">
        <v>0</v>
      </c>
      <c r="L481" t="n">
        <v>0</v>
      </c>
      <c r="M481" t="n">
        <v>0</v>
      </c>
      <c r="N481" t="n">
        <v>0</v>
      </c>
      <c r="O481" t="n">
        <v>3</v>
      </c>
      <c r="P481" t="n">
        <v>0</v>
      </c>
      <c r="Q481" t="n">
        <v>6</v>
      </c>
      <c r="R481" s="2" t="inlineStr">
        <is>
          <t>Garnlav
Granticka
Ullticka
Spindelblomster
Vedticka
Fläcknycklar</t>
        </is>
      </c>
      <c r="S481">
        <f>HYPERLINK("https://klasma.github.io/Logging_242403/artfynd/A 18046-2025 artfynd.xlsx", "A 18046-2025")</f>
        <v/>
      </c>
      <c r="T481">
        <f>HYPERLINK("https://klasma.github.io/Logging_242403/kartor/A 18046-2025 karta.png", "A 18046-2025")</f>
        <v/>
      </c>
      <c r="V481">
        <f>HYPERLINK("https://klasma.github.io/Logging_242403/klagomål/A 18046-2025 FSC-klagomål.docx", "A 18046-2025")</f>
        <v/>
      </c>
      <c r="W481">
        <f>HYPERLINK("https://klasma.github.io/Logging_242403/klagomålsmail/A 18046-2025 FSC-klagomål mail.docx", "A 18046-2025")</f>
        <v/>
      </c>
      <c r="X481">
        <f>HYPERLINK("https://klasma.github.io/Logging_242403/tillsyn/A 18046-2025 tillsynsbegäran.docx", "A 18046-2025")</f>
        <v/>
      </c>
      <c r="Y481">
        <f>HYPERLINK("https://klasma.github.io/Logging_242403/tillsynsmail/A 18046-2025 tillsynsbegäran mail.docx", "A 18046-2025")</f>
        <v/>
      </c>
    </row>
    <row r="482" ht="15" customHeight="1">
      <c r="A482" t="inlineStr">
        <is>
          <t>A 21871-2025</t>
        </is>
      </c>
      <c r="B482" s="1" t="n">
        <v>45784</v>
      </c>
      <c r="C482" s="1" t="n">
        <v>45788</v>
      </c>
      <c r="D482" t="inlineStr">
        <is>
          <t>VÄSTERBOTTENS LÄN</t>
        </is>
      </c>
      <c r="E482" t="inlineStr">
        <is>
          <t>UMEÅ</t>
        </is>
      </c>
      <c r="G482" t="n">
        <v>20.7</v>
      </c>
      <c r="H482" t="n">
        <v>1</v>
      </c>
      <c r="I482" t="n">
        <v>2</v>
      </c>
      <c r="J482" t="n">
        <v>4</v>
      </c>
      <c r="K482" t="n">
        <v>0</v>
      </c>
      <c r="L482" t="n">
        <v>0</v>
      </c>
      <c r="M482" t="n">
        <v>0</v>
      </c>
      <c r="N482" t="n">
        <v>0</v>
      </c>
      <c r="O482" t="n">
        <v>4</v>
      </c>
      <c r="P482" t="n">
        <v>0</v>
      </c>
      <c r="Q482" t="n">
        <v>6</v>
      </c>
      <c r="R482" s="2" t="inlineStr">
        <is>
          <t>Garnlav
Granticka
Talltita
Violettgrå tagellav
Granbarkgnagare
Nästlav</t>
        </is>
      </c>
      <c r="S482">
        <f>HYPERLINK("https://klasma.github.io/Logging_242480/artfynd/A 21871-2025 artfynd.xlsx", "A 21871-2025")</f>
        <v/>
      </c>
      <c r="T482">
        <f>HYPERLINK("https://klasma.github.io/Logging_242480/kartor/A 21871-2025 karta.png", "A 21871-2025")</f>
        <v/>
      </c>
      <c r="V482">
        <f>HYPERLINK("https://klasma.github.io/Logging_242480/klagomål/A 21871-2025 FSC-klagomål.docx", "A 21871-2025")</f>
        <v/>
      </c>
      <c r="W482">
        <f>HYPERLINK("https://klasma.github.io/Logging_242480/klagomålsmail/A 21871-2025 FSC-klagomål mail.docx", "A 21871-2025")</f>
        <v/>
      </c>
      <c r="X482">
        <f>HYPERLINK("https://klasma.github.io/Logging_242480/tillsyn/A 21871-2025 tillsynsbegäran.docx", "A 21871-2025")</f>
        <v/>
      </c>
      <c r="Y482">
        <f>HYPERLINK("https://klasma.github.io/Logging_242480/tillsynsmail/A 21871-2025 tillsynsbegäran mail.docx", "A 21871-2025")</f>
        <v/>
      </c>
      <c r="Z482">
        <f>HYPERLINK("https://klasma.github.io/Logging_242480/fåglar/A 21871-2025 prioriterade fågelarter.docx", "A 21871-2025")</f>
        <v/>
      </c>
    </row>
    <row r="483" ht="15" customHeight="1">
      <c r="A483" t="inlineStr">
        <is>
          <t>A 26888-2019</t>
        </is>
      </c>
      <c r="B483" s="1" t="n">
        <v>43608</v>
      </c>
      <c r="C483" s="1" t="n">
        <v>45788</v>
      </c>
      <c r="D483" t="inlineStr">
        <is>
          <t>VÄSTERBOTTENS LÄN</t>
        </is>
      </c>
      <c r="E483" t="inlineStr">
        <is>
          <t>VILHELMINA</t>
        </is>
      </c>
      <c r="G483" t="n">
        <v>22</v>
      </c>
      <c r="H483" t="n">
        <v>1</v>
      </c>
      <c r="I483" t="n">
        <v>0</v>
      </c>
      <c r="J483" t="n">
        <v>4</v>
      </c>
      <c r="K483" t="n">
        <v>1</v>
      </c>
      <c r="L483" t="n">
        <v>0</v>
      </c>
      <c r="M483" t="n">
        <v>0</v>
      </c>
      <c r="N483" t="n">
        <v>0</v>
      </c>
      <c r="O483" t="n">
        <v>5</v>
      </c>
      <c r="P483" t="n">
        <v>1</v>
      </c>
      <c r="Q483" t="n">
        <v>5</v>
      </c>
      <c r="R483" s="2" t="inlineStr">
        <is>
          <t>Rynkskinn
Garnlav
Granticka
Tretåig hackspett
Ullticka</t>
        </is>
      </c>
      <c r="S483">
        <f>HYPERLINK("https://klasma.github.io/Logging_2462/artfynd/A 26888-2019 artfynd.xlsx", "A 26888-2019")</f>
        <v/>
      </c>
      <c r="T483">
        <f>HYPERLINK("https://klasma.github.io/Logging_2462/kartor/A 26888-2019 karta.png", "A 26888-2019")</f>
        <v/>
      </c>
      <c r="V483">
        <f>HYPERLINK("https://klasma.github.io/Logging_2462/klagomål/A 26888-2019 FSC-klagomål.docx", "A 26888-2019")</f>
        <v/>
      </c>
      <c r="W483">
        <f>HYPERLINK("https://klasma.github.io/Logging_2462/klagomålsmail/A 26888-2019 FSC-klagomål mail.docx", "A 26888-2019")</f>
        <v/>
      </c>
      <c r="X483">
        <f>HYPERLINK("https://klasma.github.io/Logging_2462/tillsyn/A 26888-2019 tillsynsbegäran.docx", "A 26888-2019")</f>
        <v/>
      </c>
      <c r="Y483">
        <f>HYPERLINK("https://klasma.github.io/Logging_2462/tillsynsmail/A 26888-2019 tillsynsbegäran mail.docx", "A 26888-2019")</f>
        <v/>
      </c>
      <c r="Z483">
        <f>HYPERLINK("https://klasma.github.io/Logging_2462/fåglar/A 26888-2019 prioriterade fågelarter.docx", "A 26888-2019")</f>
        <v/>
      </c>
    </row>
    <row r="484" ht="15" customHeight="1">
      <c r="A484" t="inlineStr">
        <is>
          <t>A 48237-2019</t>
        </is>
      </c>
      <c r="B484" s="1" t="n">
        <v>43726</v>
      </c>
      <c r="C484" s="1" t="n">
        <v>45788</v>
      </c>
      <c r="D484" t="inlineStr">
        <is>
          <t>VÄSTERBOTTENS LÄN</t>
        </is>
      </c>
      <c r="E484" t="inlineStr">
        <is>
          <t>VILHELMINA</t>
        </is>
      </c>
      <c r="G484" t="n">
        <v>9</v>
      </c>
      <c r="H484" t="n">
        <v>0</v>
      </c>
      <c r="I484" t="n">
        <v>3</v>
      </c>
      <c r="J484" t="n">
        <v>2</v>
      </c>
      <c r="K484" t="n">
        <v>0</v>
      </c>
      <c r="L484" t="n">
        <v>0</v>
      </c>
      <c r="M484" t="n">
        <v>0</v>
      </c>
      <c r="N484" t="n">
        <v>0</v>
      </c>
      <c r="O484" t="n">
        <v>2</v>
      </c>
      <c r="P484" t="n">
        <v>0</v>
      </c>
      <c r="Q484" t="n">
        <v>5</v>
      </c>
      <c r="R484" s="2" t="inlineStr">
        <is>
          <t>Lunglav
Skrovellav
Bårdlav
Skinnlav
Stuplav</t>
        </is>
      </c>
      <c r="S484">
        <f>HYPERLINK("https://klasma.github.io/Logging_2462/artfynd/A 48237-2019 artfynd.xlsx", "A 48237-2019")</f>
        <v/>
      </c>
      <c r="T484">
        <f>HYPERLINK("https://klasma.github.io/Logging_2462/kartor/A 48237-2019 karta.png", "A 48237-2019")</f>
        <v/>
      </c>
      <c r="V484">
        <f>HYPERLINK("https://klasma.github.io/Logging_2462/klagomål/A 48237-2019 FSC-klagomål.docx", "A 48237-2019")</f>
        <v/>
      </c>
      <c r="W484">
        <f>HYPERLINK("https://klasma.github.io/Logging_2462/klagomålsmail/A 48237-2019 FSC-klagomål mail.docx", "A 48237-2019")</f>
        <v/>
      </c>
      <c r="X484">
        <f>HYPERLINK("https://klasma.github.io/Logging_2462/tillsyn/A 48237-2019 tillsynsbegäran.docx", "A 48237-2019")</f>
        <v/>
      </c>
      <c r="Y484">
        <f>HYPERLINK("https://klasma.github.io/Logging_2462/tillsynsmail/A 48237-2019 tillsynsbegäran mail.docx", "A 48237-2019")</f>
        <v/>
      </c>
    </row>
    <row r="485" ht="15" customHeight="1">
      <c r="A485" t="inlineStr">
        <is>
          <t>A 56912-2019</t>
        </is>
      </c>
      <c r="B485" s="1" t="n">
        <v>43766</v>
      </c>
      <c r="C485" s="1" t="n">
        <v>45788</v>
      </c>
      <c r="D485" t="inlineStr">
        <is>
          <t>VÄSTERBOTTENS LÄN</t>
        </is>
      </c>
      <c r="E485" t="inlineStr">
        <is>
          <t>STORUMAN</t>
        </is>
      </c>
      <c r="F485" t="inlineStr">
        <is>
          <t>Sveaskog</t>
        </is>
      </c>
      <c r="G485" t="n">
        <v>4.6</v>
      </c>
      <c r="H485" t="n">
        <v>1</v>
      </c>
      <c r="I485" t="n">
        <v>2</v>
      </c>
      <c r="J485" t="n">
        <v>2</v>
      </c>
      <c r="K485" t="n">
        <v>1</v>
      </c>
      <c r="L485" t="n">
        <v>0</v>
      </c>
      <c r="M485" t="n">
        <v>0</v>
      </c>
      <c r="N485" t="n">
        <v>0</v>
      </c>
      <c r="O485" t="n">
        <v>3</v>
      </c>
      <c r="P485" t="n">
        <v>1</v>
      </c>
      <c r="Q485" t="n">
        <v>5</v>
      </c>
      <c r="R485" s="2" t="inlineStr">
        <is>
          <t>Doftticka
Lunglav
Vedskivlav
Bårdlav
Skarp dropptaggsvamp</t>
        </is>
      </c>
      <c r="S485">
        <f>HYPERLINK("https://klasma.github.io/Logging_2421/artfynd/A 56912-2019 artfynd.xlsx", "A 56912-2019")</f>
        <v/>
      </c>
      <c r="T485">
        <f>HYPERLINK("https://klasma.github.io/Logging_2421/kartor/A 56912-2019 karta.png", "A 56912-2019")</f>
        <v/>
      </c>
      <c r="V485">
        <f>HYPERLINK("https://klasma.github.io/Logging_2421/klagomål/A 56912-2019 FSC-klagomål.docx", "A 56912-2019")</f>
        <v/>
      </c>
      <c r="W485">
        <f>HYPERLINK("https://klasma.github.io/Logging_2421/klagomålsmail/A 56912-2019 FSC-klagomål mail.docx", "A 56912-2019")</f>
        <v/>
      </c>
      <c r="X485">
        <f>HYPERLINK("https://klasma.github.io/Logging_2421/tillsyn/A 56912-2019 tillsynsbegäran.docx", "A 56912-2019")</f>
        <v/>
      </c>
      <c r="Y485">
        <f>HYPERLINK("https://klasma.github.io/Logging_2421/tillsynsmail/A 56912-2019 tillsynsbegäran mail.docx", "A 56912-2019")</f>
        <v/>
      </c>
    </row>
    <row r="486" ht="15" customHeight="1">
      <c r="A486" t="inlineStr">
        <is>
          <t>A 63593-2019</t>
        </is>
      </c>
      <c r="B486" s="1" t="n">
        <v>43780</v>
      </c>
      <c r="C486" s="1" t="n">
        <v>45788</v>
      </c>
      <c r="D486" t="inlineStr">
        <is>
          <t>VÄSTERBOTTENS LÄN</t>
        </is>
      </c>
      <c r="E486" t="inlineStr">
        <is>
          <t>SKELLEFTEÅ</t>
        </is>
      </c>
      <c r="G486" t="n">
        <v>37.6</v>
      </c>
      <c r="H486" t="n">
        <v>4</v>
      </c>
      <c r="I486" t="n">
        <v>0</v>
      </c>
      <c r="J486" t="n">
        <v>0</v>
      </c>
      <c r="K486" t="n">
        <v>3</v>
      </c>
      <c r="L486" t="n">
        <v>1</v>
      </c>
      <c r="M486" t="n">
        <v>0</v>
      </c>
      <c r="N486" t="n">
        <v>0</v>
      </c>
      <c r="O486" t="n">
        <v>4</v>
      </c>
      <c r="P486" t="n">
        <v>4</v>
      </c>
      <c r="Q486" t="n">
        <v>5</v>
      </c>
      <c r="R486" s="2" t="inlineStr">
        <is>
          <t>Storspov
Grenlav
Kricka
Tofsvipa
Revlummer</t>
        </is>
      </c>
      <c r="S486">
        <f>HYPERLINK("https://klasma.github.io/Logging_2482/artfynd/A 63593-2019 artfynd.xlsx", "A 63593-2019")</f>
        <v/>
      </c>
      <c r="T486">
        <f>HYPERLINK("https://klasma.github.io/Logging_2482/kartor/A 63593-2019 karta.png", "A 63593-2019")</f>
        <v/>
      </c>
      <c r="V486">
        <f>HYPERLINK("https://klasma.github.io/Logging_2482/klagomål/A 63593-2019 FSC-klagomål.docx", "A 63593-2019")</f>
        <v/>
      </c>
      <c r="W486">
        <f>HYPERLINK("https://klasma.github.io/Logging_2482/klagomålsmail/A 63593-2019 FSC-klagomål mail.docx", "A 63593-2019")</f>
        <v/>
      </c>
      <c r="X486">
        <f>HYPERLINK("https://klasma.github.io/Logging_2482/tillsyn/A 63593-2019 tillsynsbegäran.docx", "A 63593-2019")</f>
        <v/>
      </c>
      <c r="Y486">
        <f>HYPERLINK("https://klasma.github.io/Logging_2482/tillsynsmail/A 63593-2019 tillsynsbegäran mail.docx", "A 63593-2019")</f>
        <v/>
      </c>
      <c r="Z486">
        <f>HYPERLINK("https://klasma.github.io/Logging_2482/fåglar/A 63593-2019 prioriterade fågelarter.docx", "A 63593-2019")</f>
        <v/>
      </c>
    </row>
    <row r="487" ht="15" customHeight="1">
      <c r="A487" t="inlineStr">
        <is>
          <t>A 33768-2020</t>
        </is>
      </c>
      <c r="B487" s="1" t="n">
        <v>44026</v>
      </c>
      <c r="C487" s="1" t="n">
        <v>45788</v>
      </c>
      <c r="D487" t="inlineStr">
        <is>
          <t>VÄSTERBOTTENS LÄN</t>
        </is>
      </c>
      <c r="E487" t="inlineStr">
        <is>
          <t>ÅSELE</t>
        </is>
      </c>
      <c r="F487" t="inlineStr">
        <is>
          <t>Sveaskog</t>
        </is>
      </c>
      <c r="G487" t="n">
        <v>5.5</v>
      </c>
      <c r="H487" t="n">
        <v>1</v>
      </c>
      <c r="I487" t="n">
        <v>0</v>
      </c>
      <c r="J487" t="n">
        <v>5</v>
      </c>
      <c r="K487" t="n">
        <v>0</v>
      </c>
      <c r="L487" t="n">
        <v>0</v>
      </c>
      <c r="M487" t="n">
        <v>0</v>
      </c>
      <c r="N487" t="n">
        <v>0</v>
      </c>
      <c r="O487" t="n">
        <v>5</v>
      </c>
      <c r="P487" t="n">
        <v>0</v>
      </c>
      <c r="Q487" t="n">
        <v>5</v>
      </c>
      <c r="R487" s="2" t="inlineStr">
        <is>
          <t>Gammelgransskål
Granticka
Harticka
Lunglav
Tretåig hackspett</t>
        </is>
      </c>
      <c r="S487">
        <f>HYPERLINK("https://klasma.github.io/Logging_2463/artfynd/A 33768-2020 artfynd.xlsx", "A 33768-2020")</f>
        <v/>
      </c>
      <c r="T487">
        <f>HYPERLINK("https://klasma.github.io/Logging_2463/kartor/A 33768-2020 karta.png", "A 33768-2020")</f>
        <v/>
      </c>
      <c r="V487">
        <f>HYPERLINK("https://klasma.github.io/Logging_2463/klagomål/A 33768-2020 FSC-klagomål.docx", "A 33768-2020")</f>
        <v/>
      </c>
      <c r="W487">
        <f>HYPERLINK("https://klasma.github.io/Logging_2463/klagomålsmail/A 33768-2020 FSC-klagomål mail.docx", "A 33768-2020")</f>
        <v/>
      </c>
      <c r="X487">
        <f>HYPERLINK("https://klasma.github.io/Logging_2463/tillsyn/A 33768-2020 tillsynsbegäran.docx", "A 33768-2020")</f>
        <v/>
      </c>
      <c r="Y487">
        <f>HYPERLINK("https://klasma.github.io/Logging_2463/tillsynsmail/A 33768-2020 tillsynsbegäran mail.docx", "A 33768-2020")</f>
        <v/>
      </c>
      <c r="Z487">
        <f>HYPERLINK("https://klasma.github.io/Logging_2463/fåglar/A 33768-2020 prioriterade fågelarter.docx", "A 33768-2020")</f>
        <v/>
      </c>
    </row>
    <row r="488" ht="15" customHeight="1">
      <c r="A488" t="inlineStr">
        <is>
          <t>A 38314-2020</t>
        </is>
      </c>
      <c r="B488" s="1" t="n">
        <v>44060</v>
      </c>
      <c r="C488" s="1" t="n">
        <v>45788</v>
      </c>
      <c r="D488" t="inlineStr">
        <is>
          <t>VÄSTERBOTTENS LÄN</t>
        </is>
      </c>
      <c r="E488" t="inlineStr">
        <is>
          <t>UMEÅ</t>
        </is>
      </c>
      <c r="F488" t="inlineStr">
        <is>
          <t>Övriga Aktiebolag</t>
        </is>
      </c>
      <c r="G488" t="n">
        <v>5</v>
      </c>
      <c r="H488" t="n">
        <v>2</v>
      </c>
      <c r="I488" t="n">
        <v>1</v>
      </c>
      <c r="J488" t="n">
        <v>4</v>
      </c>
      <c r="K488" t="n">
        <v>0</v>
      </c>
      <c r="L488" t="n">
        <v>0</v>
      </c>
      <c r="M488" t="n">
        <v>0</v>
      </c>
      <c r="N488" t="n">
        <v>0</v>
      </c>
      <c r="O488" t="n">
        <v>4</v>
      </c>
      <c r="P488" t="n">
        <v>0</v>
      </c>
      <c r="Q488" t="n">
        <v>5</v>
      </c>
      <c r="R488" s="2" t="inlineStr">
        <is>
          <t>Garnlav
Granticka
Spillkråka
Talltita
Dropptaggsvamp</t>
        </is>
      </c>
      <c r="S488">
        <f>HYPERLINK("https://klasma.github.io/Logging_2480/artfynd/A 38314-2020 artfynd.xlsx", "A 38314-2020")</f>
        <v/>
      </c>
      <c r="T488">
        <f>HYPERLINK("https://klasma.github.io/Logging_2480/kartor/A 38314-2020 karta.png", "A 38314-2020")</f>
        <v/>
      </c>
      <c r="V488">
        <f>HYPERLINK("https://klasma.github.io/Logging_2480/klagomål/A 38314-2020 FSC-klagomål.docx", "A 38314-2020")</f>
        <v/>
      </c>
      <c r="W488">
        <f>HYPERLINK("https://klasma.github.io/Logging_2480/klagomålsmail/A 38314-2020 FSC-klagomål mail.docx", "A 38314-2020")</f>
        <v/>
      </c>
      <c r="X488">
        <f>HYPERLINK("https://klasma.github.io/Logging_2480/tillsyn/A 38314-2020 tillsynsbegäran.docx", "A 38314-2020")</f>
        <v/>
      </c>
      <c r="Y488">
        <f>HYPERLINK("https://klasma.github.io/Logging_2480/tillsynsmail/A 38314-2020 tillsynsbegäran mail.docx", "A 38314-2020")</f>
        <v/>
      </c>
      <c r="Z488">
        <f>HYPERLINK("https://klasma.github.io/Logging_2480/fåglar/A 38314-2020 prioriterade fågelarter.docx", "A 38314-2020")</f>
        <v/>
      </c>
    </row>
    <row r="489" ht="15" customHeight="1">
      <c r="A489" t="inlineStr">
        <is>
          <t>A 42118-2020</t>
        </is>
      </c>
      <c r="B489" s="1" t="n">
        <v>44075</v>
      </c>
      <c r="C489" s="1" t="n">
        <v>45788</v>
      </c>
      <c r="D489" t="inlineStr">
        <is>
          <t>VÄSTERBOTTENS LÄN</t>
        </is>
      </c>
      <c r="E489" t="inlineStr">
        <is>
          <t>SORSELE</t>
        </is>
      </c>
      <c r="F489" t="inlineStr">
        <is>
          <t>Sveaskog</t>
        </is>
      </c>
      <c r="G489" t="n">
        <v>6.2</v>
      </c>
      <c r="H489" t="n">
        <v>0</v>
      </c>
      <c r="I489" t="n">
        <v>0</v>
      </c>
      <c r="J489" t="n">
        <v>2</v>
      </c>
      <c r="K489" t="n">
        <v>3</v>
      </c>
      <c r="L489" t="n">
        <v>0</v>
      </c>
      <c r="M489" t="n">
        <v>0</v>
      </c>
      <c r="N489" t="n">
        <v>0</v>
      </c>
      <c r="O489" t="n">
        <v>5</v>
      </c>
      <c r="P489" t="n">
        <v>3</v>
      </c>
      <c r="Q489" t="n">
        <v>5</v>
      </c>
      <c r="R489" s="2" t="inlineStr">
        <is>
          <t>Smalfotad taggsvamp
Tallgråticka
Torrmusseron
Blå taggsvamp
Tallriska</t>
        </is>
      </c>
      <c r="S489">
        <f>HYPERLINK("https://klasma.github.io/Logging_2422/artfynd/A 42118-2020 artfynd.xlsx", "A 42118-2020")</f>
        <v/>
      </c>
      <c r="T489">
        <f>HYPERLINK("https://klasma.github.io/Logging_2422/kartor/A 42118-2020 karta.png", "A 42118-2020")</f>
        <v/>
      </c>
      <c r="V489">
        <f>HYPERLINK("https://klasma.github.io/Logging_2422/klagomål/A 42118-2020 FSC-klagomål.docx", "A 42118-2020")</f>
        <v/>
      </c>
      <c r="W489">
        <f>HYPERLINK("https://klasma.github.io/Logging_2422/klagomålsmail/A 42118-2020 FSC-klagomål mail.docx", "A 42118-2020")</f>
        <v/>
      </c>
      <c r="X489">
        <f>HYPERLINK("https://klasma.github.io/Logging_2422/tillsyn/A 42118-2020 tillsynsbegäran.docx", "A 42118-2020")</f>
        <v/>
      </c>
      <c r="Y489">
        <f>HYPERLINK("https://klasma.github.io/Logging_2422/tillsynsmail/A 42118-2020 tillsynsbegäran mail.docx", "A 42118-2020")</f>
        <v/>
      </c>
    </row>
    <row r="490" ht="15" customHeight="1">
      <c r="A490" t="inlineStr">
        <is>
          <t>A 52930-2020</t>
        </is>
      </c>
      <c r="B490" s="1" t="n">
        <v>44119</v>
      </c>
      <c r="C490" s="1" t="n">
        <v>45788</v>
      </c>
      <c r="D490" t="inlineStr">
        <is>
          <t>VÄSTERBOTTENS LÄN</t>
        </is>
      </c>
      <c r="E490" t="inlineStr">
        <is>
          <t>NORDMALING</t>
        </is>
      </c>
      <c r="G490" t="n">
        <v>1.3</v>
      </c>
      <c r="H490" t="n">
        <v>0</v>
      </c>
      <c r="I490" t="n">
        <v>1</v>
      </c>
      <c r="J490" t="n">
        <v>3</v>
      </c>
      <c r="K490" t="n">
        <v>1</v>
      </c>
      <c r="L490" t="n">
        <v>0</v>
      </c>
      <c r="M490" t="n">
        <v>0</v>
      </c>
      <c r="N490" t="n">
        <v>0</v>
      </c>
      <c r="O490" t="n">
        <v>4</v>
      </c>
      <c r="P490" t="n">
        <v>1</v>
      </c>
      <c r="Q490" t="n">
        <v>5</v>
      </c>
      <c r="R490" s="2" t="inlineStr">
        <is>
          <t>Fläckporing
Blå taggsvamp
Orange taggsvamp
Svartvit taggsvamp
Dropptaggsvamp</t>
        </is>
      </c>
      <c r="S490">
        <f>HYPERLINK("https://klasma.github.io/Logging_2401/artfynd/A 52930-2020 artfynd.xlsx", "A 52930-2020")</f>
        <v/>
      </c>
      <c r="T490">
        <f>HYPERLINK("https://klasma.github.io/Logging_2401/kartor/A 52930-2020 karta.png", "A 52930-2020")</f>
        <v/>
      </c>
      <c r="V490">
        <f>HYPERLINK("https://klasma.github.io/Logging_2401/klagomål/A 52930-2020 FSC-klagomål.docx", "A 52930-2020")</f>
        <v/>
      </c>
      <c r="W490">
        <f>HYPERLINK("https://klasma.github.io/Logging_2401/klagomålsmail/A 52930-2020 FSC-klagomål mail.docx", "A 52930-2020")</f>
        <v/>
      </c>
      <c r="X490">
        <f>HYPERLINK("https://klasma.github.io/Logging_2401/tillsyn/A 52930-2020 tillsynsbegäran.docx", "A 52930-2020")</f>
        <v/>
      </c>
      <c r="Y490">
        <f>HYPERLINK("https://klasma.github.io/Logging_2401/tillsynsmail/A 52930-2020 tillsynsbegäran mail.docx", "A 52930-2020")</f>
        <v/>
      </c>
    </row>
    <row r="491" ht="15" customHeight="1">
      <c r="A491" t="inlineStr">
        <is>
          <t>A 55889-2020</t>
        </is>
      </c>
      <c r="B491" s="1" t="n">
        <v>44132</v>
      </c>
      <c r="C491" s="1" t="n">
        <v>45788</v>
      </c>
      <c r="D491" t="inlineStr">
        <is>
          <t>VÄSTERBOTTENS LÄN</t>
        </is>
      </c>
      <c r="E491" t="inlineStr">
        <is>
          <t>LYCKSELE</t>
        </is>
      </c>
      <c r="F491" t="inlineStr">
        <is>
          <t>Holmen skog AB</t>
        </is>
      </c>
      <c r="G491" t="n">
        <v>11.3</v>
      </c>
      <c r="H491" t="n">
        <v>1</v>
      </c>
      <c r="I491" t="n">
        <v>0</v>
      </c>
      <c r="J491" t="n">
        <v>5</v>
      </c>
      <c r="K491" t="n">
        <v>0</v>
      </c>
      <c r="L491" t="n">
        <v>0</v>
      </c>
      <c r="M491" t="n">
        <v>0</v>
      </c>
      <c r="N491" t="n">
        <v>0</v>
      </c>
      <c r="O491" t="n">
        <v>5</v>
      </c>
      <c r="P491" t="n">
        <v>0</v>
      </c>
      <c r="Q491" t="n">
        <v>5</v>
      </c>
      <c r="R491" s="2" t="inlineStr">
        <is>
          <t>Garnlav
Granticka
Harticka
Tretåig hackspett
Vitgrynig nållav</t>
        </is>
      </c>
      <c r="S491">
        <f>HYPERLINK("https://klasma.github.io/Logging_2481/artfynd/A 55889-2020 artfynd.xlsx", "A 55889-2020")</f>
        <v/>
      </c>
      <c r="T491">
        <f>HYPERLINK("https://klasma.github.io/Logging_2481/kartor/A 55889-2020 karta.png", "A 55889-2020")</f>
        <v/>
      </c>
      <c r="V491">
        <f>HYPERLINK("https://klasma.github.io/Logging_2481/klagomål/A 55889-2020 FSC-klagomål.docx", "A 55889-2020")</f>
        <v/>
      </c>
      <c r="W491">
        <f>HYPERLINK("https://klasma.github.io/Logging_2481/klagomålsmail/A 55889-2020 FSC-klagomål mail.docx", "A 55889-2020")</f>
        <v/>
      </c>
      <c r="X491">
        <f>HYPERLINK("https://klasma.github.io/Logging_2481/tillsyn/A 55889-2020 tillsynsbegäran.docx", "A 55889-2020")</f>
        <v/>
      </c>
      <c r="Y491">
        <f>HYPERLINK("https://klasma.github.io/Logging_2481/tillsynsmail/A 55889-2020 tillsynsbegäran mail.docx", "A 55889-2020")</f>
        <v/>
      </c>
      <c r="Z491">
        <f>HYPERLINK("https://klasma.github.io/Logging_2481/fåglar/A 55889-2020 prioriterade fågelarter.docx", "A 55889-2020")</f>
        <v/>
      </c>
    </row>
    <row r="492" ht="15" customHeight="1">
      <c r="A492" t="inlineStr">
        <is>
          <t>A 61439-2020</t>
        </is>
      </c>
      <c r="B492" s="1" t="n">
        <v>44157</v>
      </c>
      <c r="C492" s="1" t="n">
        <v>45788</v>
      </c>
      <c r="D492" t="inlineStr">
        <is>
          <t>VÄSTERBOTTENS LÄN</t>
        </is>
      </c>
      <c r="E492" t="inlineStr">
        <is>
          <t>UMEÅ</t>
        </is>
      </c>
      <c r="G492" t="n">
        <v>11.8</v>
      </c>
      <c r="H492" t="n">
        <v>1</v>
      </c>
      <c r="I492" t="n">
        <v>0</v>
      </c>
      <c r="J492" t="n">
        <v>5</v>
      </c>
      <c r="K492" t="n">
        <v>0</v>
      </c>
      <c r="L492" t="n">
        <v>0</v>
      </c>
      <c r="M492" t="n">
        <v>0</v>
      </c>
      <c r="N492" t="n">
        <v>0</v>
      </c>
      <c r="O492" t="n">
        <v>5</v>
      </c>
      <c r="P492" t="n">
        <v>0</v>
      </c>
      <c r="Q492" t="n">
        <v>5</v>
      </c>
      <c r="R492" s="2" t="inlineStr">
        <is>
          <t>Gammelgransskål
Garnlav
Spillkråka
Ullticka
Vitgrynig nållav</t>
        </is>
      </c>
      <c r="S492">
        <f>HYPERLINK("https://klasma.github.io/Logging_2480/artfynd/A 61439-2020 artfynd.xlsx", "A 61439-2020")</f>
        <v/>
      </c>
      <c r="T492">
        <f>HYPERLINK("https://klasma.github.io/Logging_2480/kartor/A 61439-2020 karta.png", "A 61439-2020")</f>
        <v/>
      </c>
      <c r="V492">
        <f>HYPERLINK("https://klasma.github.io/Logging_2480/klagomål/A 61439-2020 FSC-klagomål.docx", "A 61439-2020")</f>
        <v/>
      </c>
      <c r="W492">
        <f>HYPERLINK("https://klasma.github.io/Logging_2480/klagomålsmail/A 61439-2020 FSC-klagomål mail.docx", "A 61439-2020")</f>
        <v/>
      </c>
      <c r="X492">
        <f>HYPERLINK("https://klasma.github.io/Logging_2480/tillsyn/A 61439-2020 tillsynsbegäran.docx", "A 61439-2020")</f>
        <v/>
      </c>
      <c r="Y492">
        <f>HYPERLINK("https://klasma.github.io/Logging_2480/tillsynsmail/A 61439-2020 tillsynsbegäran mail.docx", "A 61439-2020")</f>
        <v/>
      </c>
      <c r="Z492">
        <f>HYPERLINK("https://klasma.github.io/Logging_2480/fåglar/A 61439-2020 prioriterade fågelarter.docx", "A 61439-2020")</f>
        <v/>
      </c>
    </row>
    <row r="493" ht="15" customHeight="1">
      <c r="A493" t="inlineStr">
        <is>
          <t>A 63239-2020</t>
        </is>
      </c>
      <c r="B493" s="1" t="n">
        <v>44163</v>
      </c>
      <c r="C493" s="1" t="n">
        <v>45788</v>
      </c>
      <c r="D493" t="inlineStr">
        <is>
          <t>VÄSTERBOTTENS LÄN</t>
        </is>
      </c>
      <c r="E493" t="inlineStr">
        <is>
          <t>ROBERTSFORS</t>
        </is>
      </c>
      <c r="F493" t="inlineStr">
        <is>
          <t>Sveaskog</t>
        </is>
      </c>
      <c r="G493" t="n">
        <v>6.1</v>
      </c>
      <c r="H493" t="n">
        <v>0</v>
      </c>
      <c r="I493" t="n">
        <v>2</v>
      </c>
      <c r="J493" t="n">
        <v>3</v>
      </c>
      <c r="K493" t="n">
        <v>0</v>
      </c>
      <c r="L493" t="n">
        <v>0</v>
      </c>
      <c r="M493" t="n">
        <v>0</v>
      </c>
      <c r="N493" t="n">
        <v>0</v>
      </c>
      <c r="O493" t="n">
        <v>3</v>
      </c>
      <c r="P493" t="n">
        <v>0</v>
      </c>
      <c r="Q493" t="n">
        <v>5</v>
      </c>
      <c r="R493" s="2" t="inlineStr">
        <is>
          <t>Gammelgransskål
Stjärntagging
Ullticka
Bronshjon
Vedticka</t>
        </is>
      </c>
      <c r="S493">
        <f>HYPERLINK("https://klasma.github.io/Logging_2409/artfynd/A 63239-2020 artfynd.xlsx", "A 63239-2020")</f>
        <v/>
      </c>
      <c r="T493">
        <f>HYPERLINK("https://klasma.github.io/Logging_2409/kartor/A 63239-2020 karta.png", "A 63239-2020")</f>
        <v/>
      </c>
      <c r="V493">
        <f>HYPERLINK("https://klasma.github.io/Logging_2409/klagomål/A 63239-2020 FSC-klagomål.docx", "A 63239-2020")</f>
        <v/>
      </c>
      <c r="W493">
        <f>HYPERLINK("https://klasma.github.io/Logging_2409/klagomålsmail/A 63239-2020 FSC-klagomål mail.docx", "A 63239-2020")</f>
        <v/>
      </c>
      <c r="X493">
        <f>HYPERLINK("https://klasma.github.io/Logging_2409/tillsyn/A 63239-2020 tillsynsbegäran.docx", "A 63239-2020")</f>
        <v/>
      </c>
      <c r="Y493">
        <f>HYPERLINK("https://klasma.github.io/Logging_2409/tillsynsmail/A 63239-2020 tillsynsbegäran mail.docx", "A 63239-2020")</f>
        <v/>
      </c>
    </row>
    <row r="494" ht="15" customHeight="1">
      <c r="A494" t="inlineStr">
        <is>
          <t>A 24279-2021</t>
        </is>
      </c>
      <c r="B494" s="1" t="n">
        <v>44336</v>
      </c>
      <c r="C494" s="1" t="n">
        <v>45788</v>
      </c>
      <c r="D494" t="inlineStr">
        <is>
          <t>VÄSTERBOTTENS LÄN</t>
        </is>
      </c>
      <c r="E494" t="inlineStr">
        <is>
          <t>SORSELE</t>
        </is>
      </c>
      <c r="G494" t="n">
        <v>47.2</v>
      </c>
      <c r="H494" t="n">
        <v>0</v>
      </c>
      <c r="I494" t="n">
        <v>2</v>
      </c>
      <c r="J494" t="n">
        <v>2</v>
      </c>
      <c r="K494" t="n">
        <v>1</v>
      </c>
      <c r="L494" t="n">
        <v>0</v>
      </c>
      <c r="M494" t="n">
        <v>0</v>
      </c>
      <c r="N494" t="n">
        <v>0</v>
      </c>
      <c r="O494" t="n">
        <v>3</v>
      </c>
      <c r="P494" t="n">
        <v>1</v>
      </c>
      <c r="Q494" t="n">
        <v>5</v>
      </c>
      <c r="R494" s="2" t="inlineStr">
        <is>
          <t>Grenlav
Garnlav
Granticka
Skinnlav
Vedticka</t>
        </is>
      </c>
      <c r="S494">
        <f>HYPERLINK("https://klasma.github.io/Logging_2422/artfynd/A 24279-2021 artfynd.xlsx", "A 24279-2021")</f>
        <v/>
      </c>
      <c r="T494">
        <f>HYPERLINK("https://klasma.github.io/Logging_2422/kartor/A 24279-2021 karta.png", "A 24279-2021")</f>
        <v/>
      </c>
      <c r="V494">
        <f>HYPERLINK("https://klasma.github.io/Logging_2422/klagomål/A 24279-2021 FSC-klagomål.docx", "A 24279-2021")</f>
        <v/>
      </c>
      <c r="W494">
        <f>HYPERLINK("https://klasma.github.io/Logging_2422/klagomålsmail/A 24279-2021 FSC-klagomål mail.docx", "A 24279-2021")</f>
        <v/>
      </c>
      <c r="X494">
        <f>HYPERLINK("https://klasma.github.io/Logging_2422/tillsyn/A 24279-2021 tillsynsbegäran.docx", "A 24279-2021")</f>
        <v/>
      </c>
      <c r="Y494">
        <f>HYPERLINK("https://klasma.github.io/Logging_2422/tillsynsmail/A 24279-2021 tillsynsbegäran mail.docx", "A 24279-2021")</f>
        <v/>
      </c>
    </row>
    <row r="495" ht="15" customHeight="1">
      <c r="A495" t="inlineStr">
        <is>
          <t>A 25468-2021</t>
        </is>
      </c>
      <c r="B495" s="1" t="n">
        <v>44342</v>
      </c>
      <c r="C495" s="1" t="n">
        <v>45788</v>
      </c>
      <c r="D495" t="inlineStr">
        <is>
          <t>VÄSTERBOTTENS LÄN</t>
        </is>
      </c>
      <c r="E495" t="inlineStr">
        <is>
          <t>SKELLEFTEÅ</t>
        </is>
      </c>
      <c r="G495" t="n">
        <v>3.2</v>
      </c>
      <c r="H495" t="n">
        <v>2</v>
      </c>
      <c r="I495" t="n">
        <v>2</v>
      </c>
      <c r="J495" t="n">
        <v>3</v>
      </c>
      <c r="K495" t="n">
        <v>0</v>
      </c>
      <c r="L495" t="n">
        <v>0</v>
      </c>
      <c r="M495" t="n">
        <v>0</v>
      </c>
      <c r="N495" t="n">
        <v>0</v>
      </c>
      <c r="O495" t="n">
        <v>3</v>
      </c>
      <c r="P495" t="n">
        <v>0</v>
      </c>
      <c r="Q495" t="n">
        <v>5</v>
      </c>
      <c r="R495" s="2" t="inlineStr">
        <is>
          <t>Garnlav
Spillkråka
Ärtsångare
Skinnlav
Stuplav</t>
        </is>
      </c>
      <c r="S495">
        <f>HYPERLINK("https://klasma.github.io/Logging_2482/artfynd/A 25468-2021 artfynd.xlsx", "A 25468-2021")</f>
        <v/>
      </c>
      <c r="T495">
        <f>HYPERLINK("https://klasma.github.io/Logging_2482/kartor/A 25468-2021 karta.png", "A 25468-2021")</f>
        <v/>
      </c>
      <c r="V495">
        <f>HYPERLINK("https://klasma.github.io/Logging_2482/klagomål/A 25468-2021 FSC-klagomål.docx", "A 25468-2021")</f>
        <v/>
      </c>
      <c r="W495">
        <f>HYPERLINK("https://klasma.github.io/Logging_2482/klagomålsmail/A 25468-2021 FSC-klagomål mail.docx", "A 25468-2021")</f>
        <v/>
      </c>
      <c r="X495">
        <f>HYPERLINK("https://klasma.github.io/Logging_2482/tillsyn/A 25468-2021 tillsynsbegäran.docx", "A 25468-2021")</f>
        <v/>
      </c>
      <c r="Y495">
        <f>HYPERLINK("https://klasma.github.io/Logging_2482/tillsynsmail/A 25468-2021 tillsynsbegäran mail.docx", "A 25468-2021")</f>
        <v/>
      </c>
      <c r="Z495">
        <f>HYPERLINK("https://klasma.github.io/Logging_2482/fåglar/A 25468-2021 prioriterade fågelarter.docx", "A 25468-2021")</f>
        <v/>
      </c>
    </row>
    <row r="496" ht="15" customHeight="1">
      <c r="A496" t="inlineStr">
        <is>
          <t>A 34250-2021</t>
        </is>
      </c>
      <c r="B496" s="1" t="n">
        <v>44379</v>
      </c>
      <c r="C496" s="1" t="n">
        <v>45788</v>
      </c>
      <c r="D496" t="inlineStr">
        <is>
          <t>VÄSTERBOTTENS LÄN</t>
        </is>
      </c>
      <c r="E496" t="inlineStr">
        <is>
          <t>SKELLEFTEÅ</t>
        </is>
      </c>
      <c r="F496" t="inlineStr">
        <is>
          <t>Holmen skog AB</t>
        </is>
      </c>
      <c r="G496" t="n">
        <v>4.3</v>
      </c>
      <c r="H496" t="n">
        <v>0</v>
      </c>
      <c r="I496" t="n">
        <v>0</v>
      </c>
      <c r="J496" t="n">
        <v>5</v>
      </c>
      <c r="K496" t="n">
        <v>0</v>
      </c>
      <c r="L496" t="n">
        <v>0</v>
      </c>
      <c r="M496" t="n">
        <v>0</v>
      </c>
      <c r="N496" t="n">
        <v>0</v>
      </c>
      <c r="O496" t="n">
        <v>5</v>
      </c>
      <c r="P496" t="n">
        <v>0</v>
      </c>
      <c r="Q496" t="n">
        <v>5</v>
      </c>
      <c r="R496" s="2" t="inlineStr">
        <is>
          <t>Gammelgransskål
Garnlav
Kolflarnlav
Vedflamlav
Vedskivlav</t>
        </is>
      </c>
      <c r="S496">
        <f>HYPERLINK("https://klasma.github.io/Logging_2482/artfynd/A 34250-2021 artfynd.xlsx", "A 34250-2021")</f>
        <v/>
      </c>
      <c r="T496">
        <f>HYPERLINK("https://klasma.github.io/Logging_2482/kartor/A 34250-2021 karta.png", "A 34250-2021")</f>
        <v/>
      </c>
      <c r="V496">
        <f>HYPERLINK("https://klasma.github.io/Logging_2482/klagomål/A 34250-2021 FSC-klagomål.docx", "A 34250-2021")</f>
        <v/>
      </c>
      <c r="W496">
        <f>HYPERLINK("https://klasma.github.io/Logging_2482/klagomålsmail/A 34250-2021 FSC-klagomål mail.docx", "A 34250-2021")</f>
        <v/>
      </c>
      <c r="X496">
        <f>HYPERLINK("https://klasma.github.io/Logging_2482/tillsyn/A 34250-2021 tillsynsbegäran.docx", "A 34250-2021")</f>
        <v/>
      </c>
      <c r="Y496">
        <f>HYPERLINK("https://klasma.github.io/Logging_2482/tillsynsmail/A 34250-2021 tillsynsbegäran mail.docx", "A 34250-2021")</f>
        <v/>
      </c>
    </row>
    <row r="497" ht="15" customHeight="1">
      <c r="A497" t="inlineStr">
        <is>
          <t>A 39032-2021</t>
        </is>
      </c>
      <c r="B497" s="1" t="n">
        <v>44412</v>
      </c>
      <c r="C497" s="1" t="n">
        <v>45788</v>
      </c>
      <c r="D497" t="inlineStr">
        <is>
          <t>VÄSTERBOTTENS LÄN</t>
        </is>
      </c>
      <c r="E497" t="inlineStr">
        <is>
          <t>LYCKSELE</t>
        </is>
      </c>
      <c r="F497" t="inlineStr">
        <is>
          <t>Sveaskog</t>
        </is>
      </c>
      <c r="G497" t="n">
        <v>9.300000000000001</v>
      </c>
      <c r="H497" t="n">
        <v>0</v>
      </c>
      <c r="I497" t="n">
        <v>1</v>
      </c>
      <c r="J497" t="n">
        <v>4</v>
      </c>
      <c r="K497" t="n">
        <v>0</v>
      </c>
      <c r="L497" t="n">
        <v>0</v>
      </c>
      <c r="M497" t="n">
        <v>0</v>
      </c>
      <c r="N497" t="n">
        <v>0</v>
      </c>
      <c r="O497" t="n">
        <v>4</v>
      </c>
      <c r="P497" t="n">
        <v>0</v>
      </c>
      <c r="Q497" t="n">
        <v>5</v>
      </c>
      <c r="R497" s="2" t="inlineStr">
        <is>
          <t>Dvärgbägarlav
Skrovlig taggsvamp
Talltaggsvamp
Vaddporing
Dropptaggsvamp</t>
        </is>
      </c>
      <c r="S497">
        <f>HYPERLINK("https://klasma.github.io/Logging_2481/artfynd/A 39032-2021 artfynd.xlsx", "A 39032-2021")</f>
        <v/>
      </c>
      <c r="T497">
        <f>HYPERLINK("https://klasma.github.io/Logging_2481/kartor/A 39032-2021 karta.png", "A 39032-2021")</f>
        <v/>
      </c>
      <c r="V497">
        <f>HYPERLINK("https://klasma.github.io/Logging_2481/klagomål/A 39032-2021 FSC-klagomål.docx", "A 39032-2021")</f>
        <v/>
      </c>
      <c r="W497">
        <f>HYPERLINK("https://klasma.github.io/Logging_2481/klagomålsmail/A 39032-2021 FSC-klagomål mail.docx", "A 39032-2021")</f>
        <v/>
      </c>
      <c r="X497">
        <f>HYPERLINK("https://klasma.github.io/Logging_2481/tillsyn/A 39032-2021 tillsynsbegäran.docx", "A 39032-2021")</f>
        <v/>
      </c>
      <c r="Y497">
        <f>HYPERLINK("https://klasma.github.io/Logging_2481/tillsynsmail/A 39032-2021 tillsynsbegäran mail.docx", "A 39032-2021")</f>
        <v/>
      </c>
    </row>
    <row r="498" ht="15" customHeight="1">
      <c r="A498" t="inlineStr">
        <is>
          <t>A 54138-2021</t>
        </is>
      </c>
      <c r="B498" s="1" t="n">
        <v>44470</v>
      </c>
      <c r="C498" s="1" t="n">
        <v>45788</v>
      </c>
      <c r="D498" t="inlineStr">
        <is>
          <t>VÄSTERBOTTENS LÄN</t>
        </is>
      </c>
      <c r="E498" t="inlineStr">
        <is>
          <t>ÅSELE</t>
        </is>
      </c>
      <c r="F498" t="inlineStr">
        <is>
          <t>Sveaskog</t>
        </is>
      </c>
      <c r="G498" t="n">
        <v>22.1</v>
      </c>
      <c r="H498" t="n">
        <v>0</v>
      </c>
      <c r="I498" t="n">
        <v>1</v>
      </c>
      <c r="J498" t="n">
        <v>4</v>
      </c>
      <c r="K498" t="n">
        <v>0</v>
      </c>
      <c r="L498" t="n">
        <v>0</v>
      </c>
      <c r="M498" t="n">
        <v>0</v>
      </c>
      <c r="N498" t="n">
        <v>0</v>
      </c>
      <c r="O498" t="n">
        <v>4</v>
      </c>
      <c r="P498" t="n">
        <v>0</v>
      </c>
      <c r="Q498" t="n">
        <v>5</v>
      </c>
      <c r="R498" s="2" t="inlineStr">
        <is>
          <t>Lunglav
Motaggsvamp
Mörk kolflarnlav
Tallvägstekel
Skarp dropptaggsvamp</t>
        </is>
      </c>
      <c r="S498">
        <f>HYPERLINK("https://klasma.github.io/Logging_2463/artfynd/A 54138-2021 artfynd.xlsx", "A 54138-2021")</f>
        <v/>
      </c>
      <c r="T498">
        <f>HYPERLINK("https://klasma.github.io/Logging_2463/kartor/A 54138-2021 karta.png", "A 54138-2021")</f>
        <v/>
      </c>
      <c r="V498">
        <f>HYPERLINK("https://klasma.github.io/Logging_2463/klagomål/A 54138-2021 FSC-klagomål.docx", "A 54138-2021")</f>
        <v/>
      </c>
      <c r="W498">
        <f>HYPERLINK("https://klasma.github.io/Logging_2463/klagomålsmail/A 54138-2021 FSC-klagomål mail.docx", "A 54138-2021")</f>
        <v/>
      </c>
      <c r="X498">
        <f>HYPERLINK("https://klasma.github.io/Logging_2463/tillsyn/A 54138-2021 tillsynsbegäran.docx", "A 54138-2021")</f>
        <v/>
      </c>
      <c r="Y498">
        <f>HYPERLINK("https://klasma.github.io/Logging_2463/tillsynsmail/A 54138-2021 tillsynsbegäran mail.docx", "A 54138-2021")</f>
        <v/>
      </c>
    </row>
    <row r="499" ht="15" customHeight="1">
      <c r="A499" t="inlineStr">
        <is>
          <t>A 54568-2021</t>
        </is>
      </c>
      <c r="B499" s="1" t="n">
        <v>44473</v>
      </c>
      <c r="C499" s="1" t="n">
        <v>45788</v>
      </c>
      <c r="D499" t="inlineStr">
        <is>
          <t>VÄSTERBOTTENS LÄN</t>
        </is>
      </c>
      <c r="E499" t="inlineStr">
        <is>
          <t>SORSELE</t>
        </is>
      </c>
      <c r="F499" t="inlineStr">
        <is>
          <t>Sveaskog</t>
        </is>
      </c>
      <c r="G499" t="n">
        <v>1.6</v>
      </c>
      <c r="H499" t="n">
        <v>2</v>
      </c>
      <c r="I499" t="n">
        <v>0</v>
      </c>
      <c r="J499" t="n">
        <v>5</v>
      </c>
      <c r="K499" t="n">
        <v>0</v>
      </c>
      <c r="L499" t="n">
        <v>0</v>
      </c>
      <c r="M499" t="n">
        <v>0</v>
      </c>
      <c r="N499" t="n">
        <v>0</v>
      </c>
      <c r="O499" t="n">
        <v>5</v>
      </c>
      <c r="P499" t="n">
        <v>0</v>
      </c>
      <c r="Q499" t="n">
        <v>5</v>
      </c>
      <c r="R499" s="2" t="inlineStr">
        <is>
          <t>Dvärgbägarlav
Garnlav
Granticka
Spillkråka
Talltita</t>
        </is>
      </c>
      <c r="S499">
        <f>HYPERLINK("https://klasma.github.io/Logging_2422/artfynd/A 54568-2021 artfynd.xlsx", "A 54568-2021")</f>
        <v/>
      </c>
      <c r="T499">
        <f>HYPERLINK("https://klasma.github.io/Logging_2422/kartor/A 54568-2021 karta.png", "A 54568-2021")</f>
        <v/>
      </c>
      <c r="V499">
        <f>HYPERLINK("https://klasma.github.io/Logging_2422/klagomål/A 54568-2021 FSC-klagomål.docx", "A 54568-2021")</f>
        <v/>
      </c>
      <c r="W499">
        <f>HYPERLINK("https://klasma.github.io/Logging_2422/klagomålsmail/A 54568-2021 FSC-klagomål mail.docx", "A 54568-2021")</f>
        <v/>
      </c>
      <c r="X499">
        <f>HYPERLINK("https://klasma.github.io/Logging_2422/tillsyn/A 54568-2021 tillsynsbegäran.docx", "A 54568-2021")</f>
        <v/>
      </c>
      <c r="Y499">
        <f>HYPERLINK("https://klasma.github.io/Logging_2422/tillsynsmail/A 54568-2021 tillsynsbegäran mail.docx", "A 54568-2021")</f>
        <v/>
      </c>
      <c r="Z499">
        <f>HYPERLINK("https://klasma.github.io/Logging_2422/fåglar/A 54568-2021 prioriterade fågelarter.docx", "A 54568-2021")</f>
        <v/>
      </c>
    </row>
    <row r="500" ht="15" customHeight="1">
      <c r="A500" t="inlineStr">
        <is>
          <t>A 54981-2021</t>
        </is>
      </c>
      <c r="B500" s="1" t="n">
        <v>44474</v>
      </c>
      <c r="C500" s="1" t="n">
        <v>45788</v>
      </c>
      <c r="D500" t="inlineStr">
        <is>
          <t>VÄSTERBOTTENS LÄN</t>
        </is>
      </c>
      <c r="E500" t="inlineStr">
        <is>
          <t>DOROTEA</t>
        </is>
      </c>
      <c r="F500" t="inlineStr">
        <is>
          <t>Övriga statliga verk och myndigheter</t>
        </is>
      </c>
      <c r="G500" t="n">
        <v>15.6</v>
      </c>
      <c r="H500" t="n">
        <v>0</v>
      </c>
      <c r="I500" t="n">
        <v>0</v>
      </c>
      <c r="J500" t="n">
        <v>2</v>
      </c>
      <c r="K500" t="n">
        <v>2</v>
      </c>
      <c r="L500" t="n">
        <v>1</v>
      </c>
      <c r="M500" t="n">
        <v>0</v>
      </c>
      <c r="N500" t="n">
        <v>0</v>
      </c>
      <c r="O500" t="n">
        <v>5</v>
      </c>
      <c r="P500" t="n">
        <v>3</v>
      </c>
      <c r="Q500" t="n">
        <v>5</v>
      </c>
      <c r="R500" s="2" t="inlineStr">
        <is>
          <t>Urskogsporing
Gräddporing
Lateritticka
Nordtagging
Stjärntagging</t>
        </is>
      </c>
      <c r="S500">
        <f>HYPERLINK("https://klasma.github.io/Logging_2425/artfynd/A 54981-2021 artfynd.xlsx", "A 54981-2021")</f>
        <v/>
      </c>
      <c r="T500">
        <f>HYPERLINK("https://klasma.github.io/Logging_2425/kartor/A 54981-2021 karta.png", "A 54981-2021")</f>
        <v/>
      </c>
      <c r="V500">
        <f>HYPERLINK("https://klasma.github.io/Logging_2425/klagomål/A 54981-2021 FSC-klagomål.docx", "A 54981-2021")</f>
        <v/>
      </c>
      <c r="W500">
        <f>HYPERLINK("https://klasma.github.io/Logging_2425/klagomålsmail/A 54981-2021 FSC-klagomål mail.docx", "A 54981-2021")</f>
        <v/>
      </c>
      <c r="X500">
        <f>HYPERLINK("https://klasma.github.io/Logging_2425/tillsyn/A 54981-2021 tillsynsbegäran.docx", "A 54981-2021")</f>
        <v/>
      </c>
      <c r="Y500">
        <f>HYPERLINK("https://klasma.github.io/Logging_2425/tillsynsmail/A 54981-2021 tillsynsbegäran mail.docx", "A 54981-2021")</f>
        <v/>
      </c>
    </row>
    <row r="501" ht="15" customHeight="1">
      <c r="A501" t="inlineStr">
        <is>
          <t>A 59920-2021</t>
        </is>
      </c>
      <c r="B501" s="1" t="n">
        <v>44494</v>
      </c>
      <c r="C501" s="1" t="n">
        <v>45788</v>
      </c>
      <c r="D501" t="inlineStr">
        <is>
          <t>VÄSTERBOTTENS LÄN</t>
        </is>
      </c>
      <c r="E501" t="inlineStr">
        <is>
          <t>LYCKSELE</t>
        </is>
      </c>
      <c r="F501" t="inlineStr">
        <is>
          <t>Sveaskog</t>
        </is>
      </c>
      <c r="G501" t="n">
        <v>4.5</v>
      </c>
      <c r="H501" t="n">
        <v>1</v>
      </c>
      <c r="I501" t="n">
        <v>1</v>
      </c>
      <c r="J501" t="n">
        <v>3</v>
      </c>
      <c r="K501" t="n">
        <v>0</v>
      </c>
      <c r="L501" t="n">
        <v>0</v>
      </c>
      <c r="M501" t="n">
        <v>0</v>
      </c>
      <c r="N501" t="n">
        <v>0</v>
      </c>
      <c r="O501" t="n">
        <v>3</v>
      </c>
      <c r="P501" t="n">
        <v>0</v>
      </c>
      <c r="Q501" t="n">
        <v>5</v>
      </c>
      <c r="R501" s="2" t="inlineStr">
        <is>
          <t>Gammelgransskål
Garnlav
Ullticka
Bronshjon
Orre</t>
        </is>
      </c>
      <c r="S501">
        <f>HYPERLINK("https://klasma.github.io/Logging_2481/artfynd/A 59920-2021 artfynd.xlsx", "A 59920-2021")</f>
        <v/>
      </c>
      <c r="T501">
        <f>HYPERLINK("https://klasma.github.io/Logging_2481/kartor/A 59920-2021 karta.png", "A 59920-2021")</f>
        <v/>
      </c>
      <c r="V501">
        <f>HYPERLINK("https://klasma.github.io/Logging_2481/klagomål/A 59920-2021 FSC-klagomål.docx", "A 59920-2021")</f>
        <v/>
      </c>
      <c r="W501">
        <f>HYPERLINK("https://klasma.github.io/Logging_2481/klagomålsmail/A 59920-2021 FSC-klagomål mail.docx", "A 59920-2021")</f>
        <v/>
      </c>
      <c r="X501">
        <f>HYPERLINK("https://klasma.github.io/Logging_2481/tillsyn/A 59920-2021 tillsynsbegäran.docx", "A 59920-2021")</f>
        <v/>
      </c>
      <c r="Y501">
        <f>HYPERLINK("https://klasma.github.io/Logging_2481/tillsynsmail/A 59920-2021 tillsynsbegäran mail.docx", "A 59920-2021")</f>
        <v/>
      </c>
      <c r="Z501">
        <f>HYPERLINK("https://klasma.github.io/Logging_2481/fåglar/A 59920-2021 prioriterade fågelarter.docx", "A 59920-2021")</f>
        <v/>
      </c>
    </row>
    <row r="502" ht="15" customHeight="1">
      <c r="A502" t="inlineStr">
        <is>
          <t>A 61301-2021</t>
        </is>
      </c>
      <c r="B502" s="1" t="n">
        <v>44498</v>
      </c>
      <c r="C502" s="1" t="n">
        <v>45788</v>
      </c>
      <c r="D502" t="inlineStr">
        <is>
          <t>VÄSTERBOTTENS LÄN</t>
        </is>
      </c>
      <c r="E502" t="inlineStr">
        <is>
          <t>ÅSELE</t>
        </is>
      </c>
      <c r="F502" t="inlineStr">
        <is>
          <t>Sveaskog</t>
        </is>
      </c>
      <c r="G502" t="n">
        <v>24.7</v>
      </c>
      <c r="H502" t="n">
        <v>0</v>
      </c>
      <c r="I502" t="n">
        <v>1</v>
      </c>
      <c r="J502" t="n">
        <v>4</v>
      </c>
      <c r="K502" t="n">
        <v>0</v>
      </c>
      <c r="L502" t="n">
        <v>0</v>
      </c>
      <c r="M502" t="n">
        <v>0</v>
      </c>
      <c r="N502" t="n">
        <v>0</v>
      </c>
      <c r="O502" t="n">
        <v>4</v>
      </c>
      <c r="P502" t="n">
        <v>0</v>
      </c>
      <c r="Q502" t="n">
        <v>5</v>
      </c>
      <c r="R502" s="2" t="inlineStr">
        <is>
          <t>Granticka
Harticka
Lunglav
Skrovellav
Stuplav</t>
        </is>
      </c>
      <c r="S502">
        <f>HYPERLINK("https://klasma.github.io/Logging_2463/artfynd/A 61301-2021 artfynd.xlsx", "A 61301-2021")</f>
        <v/>
      </c>
      <c r="T502">
        <f>HYPERLINK("https://klasma.github.io/Logging_2463/kartor/A 61301-2021 karta.png", "A 61301-2021")</f>
        <v/>
      </c>
      <c r="V502">
        <f>HYPERLINK("https://klasma.github.io/Logging_2463/klagomål/A 61301-2021 FSC-klagomål.docx", "A 61301-2021")</f>
        <v/>
      </c>
      <c r="W502">
        <f>HYPERLINK("https://klasma.github.io/Logging_2463/klagomålsmail/A 61301-2021 FSC-klagomål mail.docx", "A 61301-2021")</f>
        <v/>
      </c>
      <c r="X502">
        <f>HYPERLINK("https://klasma.github.io/Logging_2463/tillsyn/A 61301-2021 tillsynsbegäran.docx", "A 61301-2021")</f>
        <v/>
      </c>
      <c r="Y502">
        <f>HYPERLINK("https://klasma.github.io/Logging_2463/tillsynsmail/A 61301-2021 tillsynsbegäran mail.docx", "A 61301-2021")</f>
        <v/>
      </c>
    </row>
    <row r="503" ht="15" customHeight="1">
      <c r="A503" t="inlineStr">
        <is>
          <t>A 61848-2021</t>
        </is>
      </c>
      <c r="B503" s="1" t="n">
        <v>44501</v>
      </c>
      <c r="C503" s="1" t="n">
        <v>45788</v>
      </c>
      <c r="D503" t="inlineStr">
        <is>
          <t>VÄSTERBOTTENS LÄN</t>
        </is>
      </c>
      <c r="E503" t="inlineStr">
        <is>
          <t>SKELLEFTEÅ</t>
        </is>
      </c>
      <c r="G503" t="n">
        <v>6.4</v>
      </c>
      <c r="H503" t="n">
        <v>1</v>
      </c>
      <c r="I503" t="n">
        <v>2</v>
      </c>
      <c r="J503" t="n">
        <v>2</v>
      </c>
      <c r="K503" t="n">
        <v>0</v>
      </c>
      <c r="L503" t="n">
        <v>0</v>
      </c>
      <c r="M503" t="n">
        <v>0</v>
      </c>
      <c r="N503" t="n">
        <v>0</v>
      </c>
      <c r="O503" t="n">
        <v>2</v>
      </c>
      <c r="P503" t="n">
        <v>0</v>
      </c>
      <c r="Q503" t="n">
        <v>5</v>
      </c>
      <c r="R503" s="2" t="inlineStr">
        <is>
          <t>Koralltaggsvamp
Lunglav
Bårdlav
Stuplav
Fläcknycklar</t>
        </is>
      </c>
      <c r="S503">
        <f>HYPERLINK("https://klasma.github.io/Logging_2482/artfynd/A 61848-2021 artfynd.xlsx", "A 61848-2021")</f>
        <v/>
      </c>
      <c r="T503">
        <f>HYPERLINK("https://klasma.github.io/Logging_2482/kartor/A 61848-2021 karta.png", "A 61848-2021")</f>
        <v/>
      </c>
      <c r="V503">
        <f>HYPERLINK("https://klasma.github.io/Logging_2482/klagomål/A 61848-2021 FSC-klagomål.docx", "A 61848-2021")</f>
        <v/>
      </c>
      <c r="W503">
        <f>HYPERLINK("https://klasma.github.io/Logging_2482/klagomålsmail/A 61848-2021 FSC-klagomål mail.docx", "A 61848-2021")</f>
        <v/>
      </c>
      <c r="X503">
        <f>HYPERLINK("https://klasma.github.io/Logging_2482/tillsyn/A 61848-2021 tillsynsbegäran.docx", "A 61848-2021")</f>
        <v/>
      </c>
      <c r="Y503">
        <f>HYPERLINK("https://klasma.github.io/Logging_2482/tillsynsmail/A 61848-2021 tillsynsbegäran mail.docx", "A 61848-2021")</f>
        <v/>
      </c>
    </row>
    <row r="504" ht="15" customHeight="1">
      <c r="A504" t="inlineStr">
        <is>
          <t>A 64868-2021</t>
        </is>
      </c>
      <c r="B504" s="1" t="n">
        <v>44512</v>
      </c>
      <c r="C504" s="1" t="n">
        <v>45788</v>
      </c>
      <c r="D504" t="inlineStr">
        <is>
          <t>VÄSTERBOTTENS LÄN</t>
        </is>
      </c>
      <c r="E504" t="inlineStr">
        <is>
          <t>VINDELN</t>
        </is>
      </c>
      <c r="F504" t="inlineStr">
        <is>
          <t>Sveaskog</t>
        </is>
      </c>
      <c r="G504" t="n">
        <v>3.7</v>
      </c>
      <c r="H504" t="n">
        <v>0</v>
      </c>
      <c r="I504" t="n">
        <v>2</v>
      </c>
      <c r="J504" t="n">
        <v>3</v>
      </c>
      <c r="K504" t="n">
        <v>0</v>
      </c>
      <c r="L504" t="n">
        <v>0</v>
      </c>
      <c r="M504" t="n">
        <v>0</v>
      </c>
      <c r="N504" t="n">
        <v>0</v>
      </c>
      <c r="O504" t="n">
        <v>3</v>
      </c>
      <c r="P504" t="n">
        <v>0</v>
      </c>
      <c r="Q504" t="n">
        <v>5</v>
      </c>
      <c r="R504" s="2" t="inlineStr">
        <is>
          <t>Blå taggsvamp
Gammelgransskål
Granticka
Dropptaggsvamp
Skarp dropptaggsvamp</t>
        </is>
      </c>
      <c r="S504">
        <f>HYPERLINK("https://klasma.github.io/Logging_2404/artfynd/A 64868-2021 artfynd.xlsx", "A 64868-2021")</f>
        <v/>
      </c>
      <c r="T504">
        <f>HYPERLINK("https://klasma.github.io/Logging_2404/kartor/A 64868-2021 karta.png", "A 64868-2021")</f>
        <v/>
      </c>
      <c r="V504">
        <f>HYPERLINK("https://klasma.github.io/Logging_2404/klagomål/A 64868-2021 FSC-klagomål.docx", "A 64868-2021")</f>
        <v/>
      </c>
      <c r="W504">
        <f>HYPERLINK("https://klasma.github.io/Logging_2404/klagomålsmail/A 64868-2021 FSC-klagomål mail.docx", "A 64868-2021")</f>
        <v/>
      </c>
      <c r="X504">
        <f>HYPERLINK("https://klasma.github.io/Logging_2404/tillsyn/A 64868-2021 tillsynsbegäran.docx", "A 64868-2021")</f>
        <v/>
      </c>
      <c r="Y504">
        <f>HYPERLINK("https://klasma.github.io/Logging_2404/tillsynsmail/A 64868-2021 tillsynsbegäran mail.docx", "A 64868-2021")</f>
        <v/>
      </c>
    </row>
    <row r="505" ht="15" customHeight="1">
      <c r="A505" t="inlineStr">
        <is>
          <t>A 69544-2021</t>
        </is>
      </c>
      <c r="B505" s="1" t="n">
        <v>44531</v>
      </c>
      <c r="C505" s="1" t="n">
        <v>45788</v>
      </c>
      <c r="D505" t="inlineStr">
        <is>
          <t>VÄSTERBOTTENS LÄN</t>
        </is>
      </c>
      <c r="E505" t="inlineStr">
        <is>
          <t>BJURHOLM</t>
        </is>
      </c>
      <c r="F505" t="inlineStr">
        <is>
          <t>SCA</t>
        </is>
      </c>
      <c r="G505" t="n">
        <v>12.1</v>
      </c>
      <c r="H505" t="n">
        <v>0</v>
      </c>
      <c r="I505" t="n">
        <v>4</v>
      </c>
      <c r="J505" t="n">
        <v>1</v>
      </c>
      <c r="K505" t="n">
        <v>0</v>
      </c>
      <c r="L505" t="n">
        <v>0</v>
      </c>
      <c r="M505" t="n">
        <v>0</v>
      </c>
      <c r="N505" t="n">
        <v>0</v>
      </c>
      <c r="O505" t="n">
        <v>1</v>
      </c>
      <c r="P505" t="n">
        <v>0</v>
      </c>
      <c r="Q505" t="n">
        <v>5</v>
      </c>
      <c r="R505" s="2" t="inlineStr">
        <is>
          <t>Skrovlig taggsvamp
Dropptaggsvamp
Hårjordtunga
Skarp dropptaggsvamp
Svart jordtunga</t>
        </is>
      </c>
      <c r="S505">
        <f>HYPERLINK("https://klasma.github.io/Logging_2403/artfynd/A 69544-2021 artfynd.xlsx", "A 69544-2021")</f>
        <v/>
      </c>
      <c r="T505">
        <f>HYPERLINK("https://klasma.github.io/Logging_2403/kartor/A 69544-2021 karta.png", "A 69544-2021")</f>
        <v/>
      </c>
      <c r="V505">
        <f>HYPERLINK("https://klasma.github.io/Logging_2403/klagomål/A 69544-2021 FSC-klagomål.docx", "A 69544-2021")</f>
        <v/>
      </c>
      <c r="W505">
        <f>HYPERLINK("https://klasma.github.io/Logging_2403/klagomålsmail/A 69544-2021 FSC-klagomål mail.docx", "A 69544-2021")</f>
        <v/>
      </c>
      <c r="X505">
        <f>HYPERLINK("https://klasma.github.io/Logging_2403/tillsyn/A 69544-2021 tillsynsbegäran.docx", "A 69544-2021")</f>
        <v/>
      </c>
      <c r="Y505">
        <f>HYPERLINK("https://klasma.github.io/Logging_2403/tillsynsmail/A 69544-2021 tillsynsbegäran mail.docx", "A 69544-2021")</f>
        <v/>
      </c>
    </row>
    <row r="506" ht="15" customHeight="1">
      <c r="A506" t="inlineStr">
        <is>
          <t>A 72326-2021</t>
        </is>
      </c>
      <c r="B506" s="1" t="n">
        <v>44545</v>
      </c>
      <c r="C506" s="1" t="n">
        <v>45788</v>
      </c>
      <c r="D506" t="inlineStr">
        <is>
          <t>VÄSTERBOTTENS LÄN</t>
        </is>
      </c>
      <c r="E506" t="inlineStr">
        <is>
          <t>NORSJÖ</t>
        </is>
      </c>
      <c r="F506" t="inlineStr">
        <is>
          <t>Sveaskog</t>
        </is>
      </c>
      <c r="G506" t="n">
        <v>13.8</v>
      </c>
      <c r="H506" t="n">
        <v>2</v>
      </c>
      <c r="I506" t="n">
        <v>3</v>
      </c>
      <c r="J506" t="n">
        <v>2</v>
      </c>
      <c r="K506" t="n">
        <v>0</v>
      </c>
      <c r="L506" t="n">
        <v>0</v>
      </c>
      <c r="M506" t="n">
        <v>0</v>
      </c>
      <c r="N506" t="n">
        <v>0</v>
      </c>
      <c r="O506" t="n">
        <v>2</v>
      </c>
      <c r="P506" t="n">
        <v>0</v>
      </c>
      <c r="Q506" t="n">
        <v>5</v>
      </c>
      <c r="R506" s="2" t="inlineStr">
        <is>
          <t>Granticka
Lunglav
Lappranunkel
Spindelblomster
Stuplav</t>
        </is>
      </c>
      <c r="S506">
        <f>HYPERLINK("https://klasma.github.io/Logging_2417/artfynd/A 72326-2021 artfynd.xlsx", "A 72326-2021")</f>
        <v/>
      </c>
      <c r="T506">
        <f>HYPERLINK("https://klasma.github.io/Logging_2417/kartor/A 72326-2021 karta.png", "A 72326-2021")</f>
        <v/>
      </c>
      <c r="V506">
        <f>HYPERLINK("https://klasma.github.io/Logging_2417/klagomål/A 72326-2021 FSC-klagomål.docx", "A 72326-2021")</f>
        <v/>
      </c>
      <c r="W506">
        <f>HYPERLINK("https://klasma.github.io/Logging_2417/klagomålsmail/A 72326-2021 FSC-klagomål mail.docx", "A 72326-2021")</f>
        <v/>
      </c>
      <c r="X506">
        <f>HYPERLINK("https://klasma.github.io/Logging_2417/tillsyn/A 72326-2021 tillsynsbegäran.docx", "A 72326-2021")</f>
        <v/>
      </c>
      <c r="Y506">
        <f>HYPERLINK("https://klasma.github.io/Logging_2417/tillsynsmail/A 72326-2021 tillsynsbegäran mail.docx", "A 72326-2021")</f>
        <v/>
      </c>
    </row>
    <row r="507" ht="15" customHeight="1">
      <c r="A507" t="inlineStr">
        <is>
          <t>A 7976-2022</t>
        </is>
      </c>
      <c r="B507" s="1" t="n">
        <v>44609</v>
      </c>
      <c r="C507" s="1" t="n">
        <v>45788</v>
      </c>
      <c r="D507" t="inlineStr">
        <is>
          <t>VÄSTERBOTTENS LÄN</t>
        </is>
      </c>
      <c r="E507" t="inlineStr">
        <is>
          <t>LYCKSELE</t>
        </is>
      </c>
      <c r="F507" t="inlineStr">
        <is>
          <t>Sveaskog</t>
        </is>
      </c>
      <c r="G507" t="n">
        <v>5.4</v>
      </c>
      <c r="H507" t="n">
        <v>0</v>
      </c>
      <c r="I507" t="n">
        <v>1</v>
      </c>
      <c r="J507" t="n">
        <v>4</v>
      </c>
      <c r="K507" t="n">
        <v>0</v>
      </c>
      <c r="L507" t="n">
        <v>0</v>
      </c>
      <c r="M507" t="n">
        <v>0</v>
      </c>
      <c r="N507" t="n">
        <v>0</v>
      </c>
      <c r="O507" t="n">
        <v>4</v>
      </c>
      <c r="P507" t="n">
        <v>0</v>
      </c>
      <c r="Q507" t="n">
        <v>5</v>
      </c>
      <c r="R507" s="2" t="inlineStr">
        <is>
          <t>Garnlav
Lunglav
Mörk kolflarnlav
Skrovellav
Luddlav</t>
        </is>
      </c>
      <c r="S507">
        <f>HYPERLINK("https://klasma.github.io/Logging_2481/artfynd/A 7976-2022 artfynd.xlsx", "A 7976-2022")</f>
        <v/>
      </c>
      <c r="T507">
        <f>HYPERLINK("https://klasma.github.io/Logging_2481/kartor/A 7976-2022 karta.png", "A 7976-2022")</f>
        <v/>
      </c>
      <c r="V507">
        <f>HYPERLINK("https://klasma.github.io/Logging_2481/klagomål/A 7976-2022 FSC-klagomål.docx", "A 7976-2022")</f>
        <v/>
      </c>
      <c r="W507">
        <f>HYPERLINK("https://klasma.github.io/Logging_2481/klagomålsmail/A 7976-2022 FSC-klagomål mail.docx", "A 7976-2022")</f>
        <v/>
      </c>
      <c r="X507">
        <f>HYPERLINK("https://klasma.github.io/Logging_2481/tillsyn/A 7976-2022 tillsynsbegäran.docx", "A 7976-2022")</f>
        <v/>
      </c>
      <c r="Y507">
        <f>HYPERLINK("https://klasma.github.io/Logging_2481/tillsynsmail/A 7976-2022 tillsynsbegäran mail.docx", "A 7976-2022")</f>
        <v/>
      </c>
    </row>
    <row r="508" ht="15" customHeight="1">
      <c r="A508" t="inlineStr">
        <is>
          <t>A 8255-2022</t>
        </is>
      </c>
      <c r="B508" s="1" t="n">
        <v>44609</v>
      </c>
      <c r="C508" s="1" t="n">
        <v>45788</v>
      </c>
      <c r="D508" t="inlineStr">
        <is>
          <t>VÄSTERBOTTENS LÄN</t>
        </is>
      </c>
      <c r="E508" t="inlineStr">
        <is>
          <t>VILHELMINA</t>
        </is>
      </c>
      <c r="G508" t="n">
        <v>15.7</v>
      </c>
      <c r="H508" t="n">
        <v>0</v>
      </c>
      <c r="I508" t="n">
        <v>1</v>
      </c>
      <c r="J508" t="n">
        <v>4</v>
      </c>
      <c r="K508" t="n">
        <v>0</v>
      </c>
      <c r="L508" t="n">
        <v>0</v>
      </c>
      <c r="M508" t="n">
        <v>0</v>
      </c>
      <c r="N508" t="n">
        <v>0</v>
      </c>
      <c r="O508" t="n">
        <v>4</v>
      </c>
      <c r="P508" t="n">
        <v>0</v>
      </c>
      <c r="Q508" t="n">
        <v>5</v>
      </c>
      <c r="R508" s="2" t="inlineStr">
        <is>
          <t>Gammelgransskål
Granticka
Rosenticka
Skrovellav
Trådticka</t>
        </is>
      </c>
      <c r="S508">
        <f>HYPERLINK("https://klasma.github.io/Logging_2462/artfynd/A 8255-2022 artfynd.xlsx", "A 8255-2022")</f>
        <v/>
      </c>
      <c r="T508">
        <f>HYPERLINK("https://klasma.github.io/Logging_2462/kartor/A 8255-2022 karta.png", "A 8255-2022")</f>
        <v/>
      </c>
      <c r="V508">
        <f>HYPERLINK("https://klasma.github.io/Logging_2462/klagomål/A 8255-2022 FSC-klagomål.docx", "A 8255-2022")</f>
        <v/>
      </c>
      <c r="W508">
        <f>HYPERLINK("https://klasma.github.io/Logging_2462/klagomålsmail/A 8255-2022 FSC-klagomål mail.docx", "A 8255-2022")</f>
        <v/>
      </c>
      <c r="X508">
        <f>HYPERLINK("https://klasma.github.io/Logging_2462/tillsyn/A 8255-2022 tillsynsbegäran.docx", "A 8255-2022")</f>
        <v/>
      </c>
      <c r="Y508">
        <f>HYPERLINK("https://klasma.github.io/Logging_2462/tillsynsmail/A 8255-2022 tillsynsbegäran mail.docx", "A 8255-2022")</f>
        <v/>
      </c>
    </row>
    <row r="509" ht="15" customHeight="1">
      <c r="A509" t="inlineStr">
        <is>
          <t>A 9196-2022</t>
        </is>
      </c>
      <c r="B509" s="1" t="n">
        <v>44615</v>
      </c>
      <c r="C509" s="1" t="n">
        <v>45788</v>
      </c>
      <c r="D509" t="inlineStr">
        <is>
          <t>VÄSTERBOTTENS LÄN</t>
        </is>
      </c>
      <c r="E509" t="inlineStr">
        <is>
          <t>DOROTEA</t>
        </is>
      </c>
      <c r="G509" t="n">
        <v>12.7</v>
      </c>
      <c r="H509" t="n">
        <v>0</v>
      </c>
      <c r="I509" t="n">
        <v>1</v>
      </c>
      <c r="J509" t="n">
        <v>4</v>
      </c>
      <c r="K509" t="n">
        <v>0</v>
      </c>
      <c r="L509" t="n">
        <v>0</v>
      </c>
      <c r="M509" t="n">
        <v>0</v>
      </c>
      <c r="N509" t="n">
        <v>0</v>
      </c>
      <c r="O509" t="n">
        <v>4</v>
      </c>
      <c r="P509" t="n">
        <v>0</v>
      </c>
      <c r="Q509" t="n">
        <v>5</v>
      </c>
      <c r="R509" s="2" t="inlineStr">
        <is>
          <t>Granticka
Gränsticka
Rosenticka
Ullticka
Vedticka</t>
        </is>
      </c>
      <c r="S509">
        <f>HYPERLINK("https://klasma.github.io/Logging_2425/artfynd/A 9196-2022 artfynd.xlsx", "A 9196-2022")</f>
        <v/>
      </c>
      <c r="T509">
        <f>HYPERLINK("https://klasma.github.io/Logging_2425/kartor/A 9196-2022 karta.png", "A 9196-2022")</f>
        <v/>
      </c>
      <c r="V509">
        <f>HYPERLINK("https://klasma.github.io/Logging_2425/klagomål/A 9196-2022 FSC-klagomål.docx", "A 9196-2022")</f>
        <v/>
      </c>
      <c r="W509">
        <f>HYPERLINK("https://klasma.github.io/Logging_2425/klagomålsmail/A 9196-2022 FSC-klagomål mail.docx", "A 9196-2022")</f>
        <v/>
      </c>
      <c r="X509">
        <f>HYPERLINK("https://klasma.github.io/Logging_2425/tillsyn/A 9196-2022 tillsynsbegäran.docx", "A 9196-2022")</f>
        <v/>
      </c>
      <c r="Y509">
        <f>HYPERLINK("https://klasma.github.io/Logging_2425/tillsynsmail/A 9196-2022 tillsynsbegäran mail.docx", "A 9196-2022")</f>
        <v/>
      </c>
    </row>
    <row r="510" ht="15" customHeight="1">
      <c r="A510" t="inlineStr">
        <is>
          <t>A 9499-2022</t>
        </is>
      </c>
      <c r="B510" s="1" t="n">
        <v>44616</v>
      </c>
      <c r="C510" s="1" t="n">
        <v>45788</v>
      </c>
      <c r="D510" t="inlineStr">
        <is>
          <t>VÄSTERBOTTENS LÄN</t>
        </is>
      </c>
      <c r="E510" t="inlineStr">
        <is>
          <t>SKELLEFTEÅ</t>
        </is>
      </c>
      <c r="F510" t="inlineStr">
        <is>
          <t>SCA</t>
        </is>
      </c>
      <c r="G510" t="n">
        <v>3.2</v>
      </c>
      <c r="H510" t="n">
        <v>0</v>
      </c>
      <c r="I510" t="n">
        <v>1</v>
      </c>
      <c r="J510" t="n">
        <v>2</v>
      </c>
      <c r="K510" t="n">
        <v>2</v>
      </c>
      <c r="L510" t="n">
        <v>0</v>
      </c>
      <c r="M510" t="n">
        <v>0</v>
      </c>
      <c r="N510" t="n">
        <v>0</v>
      </c>
      <c r="O510" t="n">
        <v>4</v>
      </c>
      <c r="P510" t="n">
        <v>2</v>
      </c>
      <c r="Q510" t="n">
        <v>5</v>
      </c>
      <c r="R510" s="2" t="inlineStr">
        <is>
          <t>Tajgataggsvamp
Tallgråticka
Motaggsvamp
Talltaggsvamp
Dropptaggsvamp</t>
        </is>
      </c>
      <c r="S510">
        <f>HYPERLINK("https://klasma.github.io/Logging_2482/artfynd/A 9499-2022 artfynd.xlsx", "A 9499-2022")</f>
        <v/>
      </c>
      <c r="T510">
        <f>HYPERLINK("https://klasma.github.io/Logging_2482/kartor/A 9499-2022 karta.png", "A 9499-2022")</f>
        <v/>
      </c>
      <c r="V510">
        <f>HYPERLINK("https://klasma.github.io/Logging_2482/klagomål/A 9499-2022 FSC-klagomål.docx", "A 9499-2022")</f>
        <v/>
      </c>
      <c r="W510">
        <f>HYPERLINK("https://klasma.github.io/Logging_2482/klagomålsmail/A 9499-2022 FSC-klagomål mail.docx", "A 9499-2022")</f>
        <v/>
      </c>
      <c r="X510">
        <f>HYPERLINK("https://klasma.github.io/Logging_2482/tillsyn/A 9499-2022 tillsynsbegäran.docx", "A 9499-2022")</f>
        <v/>
      </c>
      <c r="Y510">
        <f>HYPERLINK("https://klasma.github.io/Logging_2482/tillsynsmail/A 9499-2022 tillsynsbegäran mail.docx", "A 9499-2022")</f>
        <v/>
      </c>
    </row>
    <row r="511" ht="15" customHeight="1">
      <c r="A511" t="inlineStr">
        <is>
          <t>A 11867-2022</t>
        </is>
      </c>
      <c r="B511" s="1" t="n">
        <v>44635</v>
      </c>
      <c r="C511" s="1" t="n">
        <v>45788</v>
      </c>
      <c r="D511" t="inlineStr">
        <is>
          <t>VÄSTERBOTTENS LÄN</t>
        </is>
      </c>
      <c r="E511" t="inlineStr">
        <is>
          <t>SKELLEFTEÅ</t>
        </is>
      </c>
      <c r="G511" t="n">
        <v>5</v>
      </c>
      <c r="H511" t="n">
        <v>1</v>
      </c>
      <c r="I511" t="n">
        <v>0</v>
      </c>
      <c r="J511" t="n">
        <v>4</v>
      </c>
      <c r="K511" t="n">
        <v>1</v>
      </c>
      <c r="L511" t="n">
        <v>0</v>
      </c>
      <c r="M511" t="n">
        <v>0</v>
      </c>
      <c r="N511" t="n">
        <v>0</v>
      </c>
      <c r="O511" t="n">
        <v>5</v>
      </c>
      <c r="P511" t="n">
        <v>1</v>
      </c>
      <c r="Q511" t="n">
        <v>5</v>
      </c>
      <c r="R511" s="2" t="inlineStr">
        <is>
          <t>Nordlig flatbagge
Kolflarnlav
Skrovlig flatbagge
Spillkråka
Violettgrå tagellav</t>
        </is>
      </c>
      <c r="S511">
        <f>HYPERLINK("https://klasma.github.io/Logging_2482/artfynd/A 11867-2022 artfynd.xlsx", "A 11867-2022")</f>
        <v/>
      </c>
      <c r="T511">
        <f>HYPERLINK("https://klasma.github.io/Logging_2482/kartor/A 11867-2022 karta.png", "A 11867-2022")</f>
        <v/>
      </c>
      <c r="V511">
        <f>HYPERLINK("https://klasma.github.io/Logging_2482/klagomål/A 11867-2022 FSC-klagomål.docx", "A 11867-2022")</f>
        <v/>
      </c>
      <c r="W511">
        <f>HYPERLINK("https://klasma.github.io/Logging_2482/klagomålsmail/A 11867-2022 FSC-klagomål mail.docx", "A 11867-2022")</f>
        <v/>
      </c>
      <c r="X511">
        <f>HYPERLINK("https://klasma.github.io/Logging_2482/tillsyn/A 11867-2022 tillsynsbegäran.docx", "A 11867-2022")</f>
        <v/>
      </c>
      <c r="Y511">
        <f>HYPERLINK("https://klasma.github.io/Logging_2482/tillsynsmail/A 11867-2022 tillsynsbegäran mail.docx", "A 11867-2022")</f>
        <v/>
      </c>
      <c r="Z511">
        <f>HYPERLINK("https://klasma.github.io/Logging_2482/fåglar/A 11867-2022 prioriterade fågelarter.docx", "A 11867-2022")</f>
        <v/>
      </c>
    </row>
    <row r="512" ht="15" customHeight="1">
      <c r="A512" t="inlineStr">
        <is>
          <t>A 13479-2022</t>
        </is>
      </c>
      <c r="B512" s="1" t="n">
        <v>44645</v>
      </c>
      <c r="C512" s="1" t="n">
        <v>45788</v>
      </c>
      <c r="D512" t="inlineStr">
        <is>
          <t>VÄSTERBOTTENS LÄN</t>
        </is>
      </c>
      <c r="E512" t="inlineStr">
        <is>
          <t>UMEÅ</t>
        </is>
      </c>
      <c r="G512" t="n">
        <v>6.2</v>
      </c>
      <c r="H512" t="n">
        <v>5</v>
      </c>
      <c r="I512" t="n">
        <v>0</v>
      </c>
      <c r="J512" t="n">
        <v>3</v>
      </c>
      <c r="K512" t="n">
        <v>0</v>
      </c>
      <c r="L512" t="n">
        <v>0</v>
      </c>
      <c r="M512" t="n">
        <v>0</v>
      </c>
      <c r="N512" t="n">
        <v>0</v>
      </c>
      <c r="O512" t="n">
        <v>3</v>
      </c>
      <c r="P512" t="n">
        <v>0</v>
      </c>
      <c r="Q512" t="n">
        <v>5</v>
      </c>
      <c r="R512" s="2" t="inlineStr">
        <is>
          <t>Dammfladdermus
Fransfladdermus
Nordfladdermus
Trollpipistrell
Vattenfladdermus</t>
        </is>
      </c>
      <c r="S512">
        <f>HYPERLINK("https://klasma.github.io/Logging_2480/artfynd/A 13479-2022 artfynd.xlsx", "A 13479-2022")</f>
        <v/>
      </c>
      <c r="T512">
        <f>HYPERLINK("https://klasma.github.io/Logging_2480/kartor/A 13479-2022 karta.png", "A 13479-2022")</f>
        <v/>
      </c>
      <c r="V512">
        <f>HYPERLINK("https://klasma.github.io/Logging_2480/klagomål/A 13479-2022 FSC-klagomål.docx", "A 13479-2022")</f>
        <v/>
      </c>
      <c r="W512">
        <f>HYPERLINK("https://klasma.github.io/Logging_2480/klagomålsmail/A 13479-2022 FSC-klagomål mail.docx", "A 13479-2022")</f>
        <v/>
      </c>
      <c r="X512">
        <f>HYPERLINK("https://klasma.github.io/Logging_2480/tillsyn/A 13479-2022 tillsynsbegäran.docx", "A 13479-2022")</f>
        <v/>
      </c>
      <c r="Y512">
        <f>HYPERLINK("https://klasma.github.io/Logging_2480/tillsynsmail/A 13479-2022 tillsynsbegäran mail.docx", "A 13479-2022")</f>
        <v/>
      </c>
    </row>
    <row r="513" ht="15" customHeight="1">
      <c r="A513" t="inlineStr">
        <is>
          <t>A 19007-2022</t>
        </is>
      </c>
      <c r="B513" s="1" t="n">
        <v>44690</v>
      </c>
      <c r="C513" s="1" t="n">
        <v>45788</v>
      </c>
      <c r="D513" t="inlineStr">
        <is>
          <t>VÄSTERBOTTENS LÄN</t>
        </is>
      </c>
      <c r="E513" t="inlineStr">
        <is>
          <t>VINDELN</t>
        </is>
      </c>
      <c r="F513" t="inlineStr">
        <is>
          <t>SCA</t>
        </is>
      </c>
      <c r="G513" t="n">
        <v>5.1</v>
      </c>
      <c r="H513" t="n">
        <v>0</v>
      </c>
      <c r="I513" t="n">
        <v>1</v>
      </c>
      <c r="J513" t="n">
        <v>4</v>
      </c>
      <c r="K513" t="n">
        <v>0</v>
      </c>
      <c r="L513" t="n">
        <v>0</v>
      </c>
      <c r="M513" t="n">
        <v>0</v>
      </c>
      <c r="N513" t="n">
        <v>0</v>
      </c>
      <c r="O513" t="n">
        <v>4</v>
      </c>
      <c r="P513" t="n">
        <v>0</v>
      </c>
      <c r="Q513" t="n">
        <v>5</v>
      </c>
      <c r="R513" s="2" t="inlineStr">
        <is>
          <t>Blå taggsvamp
Motaggsvamp
Orange taggsvamp
Svart taggsvamp
Dropptaggsvamp</t>
        </is>
      </c>
      <c r="S513">
        <f>HYPERLINK("https://klasma.github.io/Logging_2404/artfynd/A 19007-2022 artfynd.xlsx", "A 19007-2022")</f>
        <v/>
      </c>
      <c r="T513">
        <f>HYPERLINK("https://klasma.github.io/Logging_2404/kartor/A 19007-2022 karta.png", "A 19007-2022")</f>
        <v/>
      </c>
      <c r="V513">
        <f>HYPERLINK("https://klasma.github.io/Logging_2404/klagomål/A 19007-2022 FSC-klagomål.docx", "A 19007-2022")</f>
        <v/>
      </c>
      <c r="W513">
        <f>HYPERLINK("https://klasma.github.io/Logging_2404/klagomålsmail/A 19007-2022 FSC-klagomål mail.docx", "A 19007-2022")</f>
        <v/>
      </c>
      <c r="X513">
        <f>HYPERLINK("https://klasma.github.io/Logging_2404/tillsyn/A 19007-2022 tillsynsbegäran.docx", "A 19007-2022")</f>
        <v/>
      </c>
      <c r="Y513">
        <f>HYPERLINK("https://klasma.github.io/Logging_2404/tillsynsmail/A 19007-2022 tillsynsbegäran mail.docx", "A 19007-2022")</f>
        <v/>
      </c>
    </row>
    <row r="514" ht="15" customHeight="1">
      <c r="A514" t="inlineStr">
        <is>
          <t>A 32316-2022</t>
        </is>
      </c>
      <c r="B514" s="1" t="n">
        <v>44781</v>
      </c>
      <c r="C514" s="1" t="n">
        <v>45788</v>
      </c>
      <c r="D514" t="inlineStr">
        <is>
          <t>VÄSTERBOTTENS LÄN</t>
        </is>
      </c>
      <c r="E514" t="inlineStr">
        <is>
          <t>UMEÅ</t>
        </is>
      </c>
      <c r="F514" t="inlineStr">
        <is>
          <t>Holmen skog AB</t>
        </is>
      </c>
      <c r="G514" t="n">
        <v>6.4</v>
      </c>
      <c r="H514" t="n">
        <v>1</v>
      </c>
      <c r="I514" t="n">
        <v>2</v>
      </c>
      <c r="J514" t="n">
        <v>2</v>
      </c>
      <c r="K514" t="n">
        <v>0</v>
      </c>
      <c r="L514" t="n">
        <v>0</v>
      </c>
      <c r="M514" t="n">
        <v>0</v>
      </c>
      <c r="N514" t="n">
        <v>0</v>
      </c>
      <c r="O514" t="n">
        <v>2</v>
      </c>
      <c r="P514" t="n">
        <v>0</v>
      </c>
      <c r="Q514" t="n">
        <v>5</v>
      </c>
      <c r="R514" s="2" t="inlineStr">
        <is>
          <t>Garnlav
Orange taggsvamp
Dropptaggsvamp
Skarp dropptaggsvamp
Tjäder</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c r="Z514">
        <f>HYPERLINK("https://klasma.github.io/Logging_2480/fåglar/A 32316-2022 prioriterade fågelarter.docx", "A 32316-2022")</f>
        <v/>
      </c>
    </row>
    <row r="515" ht="15" customHeight="1">
      <c r="A515" t="inlineStr">
        <is>
          <t>A 34687-2022</t>
        </is>
      </c>
      <c r="B515" s="1" t="n">
        <v>44795</v>
      </c>
      <c r="C515" s="1" t="n">
        <v>45788</v>
      </c>
      <c r="D515" t="inlineStr">
        <is>
          <t>VÄSTERBOTTENS LÄN</t>
        </is>
      </c>
      <c r="E515" t="inlineStr">
        <is>
          <t>BJURHOLM</t>
        </is>
      </c>
      <c r="F515" t="inlineStr">
        <is>
          <t>Holmen skog AB</t>
        </is>
      </c>
      <c r="G515" t="n">
        <v>2.3</v>
      </c>
      <c r="H515" t="n">
        <v>0</v>
      </c>
      <c r="I515" t="n">
        <v>0</v>
      </c>
      <c r="J515" t="n">
        <v>4</v>
      </c>
      <c r="K515" t="n">
        <v>1</v>
      </c>
      <c r="L515" t="n">
        <v>0</v>
      </c>
      <c r="M515" t="n">
        <v>0</v>
      </c>
      <c r="N515" t="n">
        <v>0</v>
      </c>
      <c r="O515" t="n">
        <v>5</v>
      </c>
      <c r="P515" t="n">
        <v>1</v>
      </c>
      <c r="Q515" t="n">
        <v>5</v>
      </c>
      <c r="R515" s="2" t="inlineStr">
        <is>
          <t>Rynkskinn
Doftskinn
Garnlav
Ullticka
Vitgrynig nållav</t>
        </is>
      </c>
      <c r="S515">
        <f>HYPERLINK("https://klasma.github.io/Logging_2403/artfynd/A 34687-2022 artfynd.xlsx", "A 34687-2022")</f>
        <v/>
      </c>
      <c r="T515">
        <f>HYPERLINK("https://klasma.github.io/Logging_2403/kartor/A 34687-2022 karta.png", "A 34687-2022")</f>
        <v/>
      </c>
      <c r="V515">
        <f>HYPERLINK("https://klasma.github.io/Logging_2403/klagomål/A 34687-2022 FSC-klagomål.docx", "A 34687-2022")</f>
        <v/>
      </c>
      <c r="W515">
        <f>HYPERLINK("https://klasma.github.io/Logging_2403/klagomålsmail/A 34687-2022 FSC-klagomål mail.docx", "A 34687-2022")</f>
        <v/>
      </c>
      <c r="X515">
        <f>HYPERLINK("https://klasma.github.io/Logging_2403/tillsyn/A 34687-2022 tillsynsbegäran.docx", "A 34687-2022")</f>
        <v/>
      </c>
      <c r="Y515">
        <f>HYPERLINK("https://klasma.github.io/Logging_2403/tillsynsmail/A 34687-2022 tillsynsbegäran mail.docx", "A 34687-2022")</f>
        <v/>
      </c>
    </row>
    <row r="516" ht="15" customHeight="1">
      <c r="A516" t="inlineStr">
        <is>
          <t>A 39912-2022</t>
        </is>
      </c>
      <c r="B516" s="1" t="n">
        <v>44819</v>
      </c>
      <c r="C516" s="1" t="n">
        <v>45788</v>
      </c>
      <c r="D516" t="inlineStr">
        <is>
          <t>VÄSTERBOTTENS LÄN</t>
        </is>
      </c>
      <c r="E516" t="inlineStr">
        <is>
          <t>UMEÅ</t>
        </is>
      </c>
      <c r="F516" t="inlineStr">
        <is>
          <t>Holmen skog AB</t>
        </is>
      </c>
      <c r="G516" t="n">
        <v>26.3</v>
      </c>
      <c r="H516" t="n">
        <v>1</v>
      </c>
      <c r="I516" t="n">
        <v>0</v>
      </c>
      <c r="J516" t="n">
        <v>5</v>
      </c>
      <c r="K516" t="n">
        <v>0</v>
      </c>
      <c r="L516" t="n">
        <v>0</v>
      </c>
      <c r="M516" t="n">
        <v>0</v>
      </c>
      <c r="N516" t="n">
        <v>0</v>
      </c>
      <c r="O516" t="n">
        <v>5</v>
      </c>
      <c r="P516" t="n">
        <v>0</v>
      </c>
      <c r="Q516" t="n">
        <v>5</v>
      </c>
      <c r="R516" s="2" t="inlineStr">
        <is>
          <t>Garnlav
Granticka
Lunglav
Spillkråka
Ullticka</t>
        </is>
      </c>
      <c r="S516">
        <f>HYPERLINK("https://klasma.github.io/Logging_2480/artfynd/A 39912-2022 artfynd.xlsx", "A 39912-2022")</f>
        <v/>
      </c>
      <c r="T516">
        <f>HYPERLINK("https://klasma.github.io/Logging_2480/kartor/A 39912-2022 karta.png", "A 39912-2022")</f>
        <v/>
      </c>
      <c r="V516">
        <f>HYPERLINK("https://klasma.github.io/Logging_2480/klagomål/A 39912-2022 FSC-klagomål.docx", "A 39912-2022")</f>
        <v/>
      </c>
      <c r="W516">
        <f>HYPERLINK("https://klasma.github.io/Logging_2480/klagomålsmail/A 39912-2022 FSC-klagomål mail.docx", "A 39912-2022")</f>
        <v/>
      </c>
      <c r="X516">
        <f>HYPERLINK("https://klasma.github.io/Logging_2480/tillsyn/A 39912-2022 tillsynsbegäran.docx", "A 39912-2022")</f>
        <v/>
      </c>
      <c r="Y516">
        <f>HYPERLINK("https://klasma.github.io/Logging_2480/tillsynsmail/A 39912-2022 tillsynsbegäran mail.docx", "A 39912-2022")</f>
        <v/>
      </c>
      <c r="Z516">
        <f>HYPERLINK("https://klasma.github.io/Logging_2480/fåglar/A 39912-2022 prioriterade fågelarter.docx", "A 39912-2022")</f>
        <v/>
      </c>
    </row>
    <row r="517" ht="15" customHeight="1">
      <c r="A517" t="inlineStr">
        <is>
          <t>A 47955-2022</t>
        </is>
      </c>
      <c r="B517" s="1" t="n">
        <v>44853</v>
      </c>
      <c r="C517" s="1" t="n">
        <v>45788</v>
      </c>
      <c r="D517" t="inlineStr">
        <is>
          <t>VÄSTERBOTTENS LÄN</t>
        </is>
      </c>
      <c r="E517" t="inlineStr">
        <is>
          <t>DOROTEA</t>
        </is>
      </c>
      <c r="G517" t="n">
        <v>16.3</v>
      </c>
      <c r="H517" t="n">
        <v>0</v>
      </c>
      <c r="I517" t="n">
        <v>0</v>
      </c>
      <c r="J517" t="n">
        <v>5</v>
      </c>
      <c r="K517" t="n">
        <v>0</v>
      </c>
      <c r="L517" t="n">
        <v>0</v>
      </c>
      <c r="M517" t="n">
        <v>0</v>
      </c>
      <c r="N517" t="n">
        <v>0</v>
      </c>
      <c r="O517" t="n">
        <v>5</v>
      </c>
      <c r="P517" t="n">
        <v>0</v>
      </c>
      <c r="Q517" t="n">
        <v>5</v>
      </c>
      <c r="R517" s="2" t="inlineStr">
        <is>
          <t>Doftskinn
Granticka
Gränsticka
Harticka
Ullticka</t>
        </is>
      </c>
      <c r="S517">
        <f>HYPERLINK("https://klasma.github.io/Logging_2425/artfynd/A 47955-2022 artfynd.xlsx", "A 47955-2022")</f>
        <v/>
      </c>
      <c r="T517">
        <f>HYPERLINK("https://klasma.github.io/Logging_2425/kartor/A 47955-2022 karta.png", "A 47955-2022")</f>
        <v/>
      </c>
      <c r="V517">
        <f>HYPERLINK("https://klasma.github.io/Logging_2425/klagomål/A 47955-2022 FSC-klagomål.docx", "A 47955-2022")</f>
        <v/>
      </c>
      <c r="W517">
        <f>HYPERLINK("https://klasma.github.io/Logging_2425/klagomålsmail/A 47955-2022 FSC-klagomål mail.docx", "A 47955-2022")</f>
        <v/>
      </c>
      <c r="X517">
        <f>HYPERLINK("https://klasma.github.io/Logging_2425/tillsyn/A 47955-2022 tillsynsbegäran.docx", "A 47955-2022")</f>
        <v/>
      </c>
      <c r="Y517">
        <f>HYPERLINK("https://klasma.github.io/Logging_2425/tillsynsmail/A 47955-2022 tillsynsbegäran mail.docx", "A 47955-2022")</f>
        <v/>
      </c>
    </row>
    <row r="518" ht="15" customHeight="1">
      <c r="A518" t="inlineStr">
        <is>
          <t>A 51811-2022</t>
        </is>
      </c>
      <c r="B518" s="1" t="n">
        <v>44867</v>
      </c>
      <c r="C518" s="1" t="n">
        <v>45788</v>
      </c>
      <c r="D518" t="inlineStr">
        <is>
          <t>VÄSTERBOTTENS LÄN</t>
        </is>
      </c>
      <c r="E518" t="inlineStr">
        <is>
          <t>SKELLEFTEÅ</t>
        </is>
      </c>
      <c r="G518" t="n">
        <v>3.8</v>
      </c>
      <c r="H518" t="n">
        <v>2</v>
      </c>
      <c r="I518" t="n">
        <v>1</v>
      </c>
      <c r="J518" t="n">
        <v>4</v>
      </c>
      <c r="K518" t="n">
        <v>0</v>
      </c>
      <c r="L518" t="n">
        <v>0</v>
      </c>
      <c r="M518" t="n">
        <v>0</v>
      </c>
      <c r="N518" t="n">
        <v>0</v>
      </c>
      <c r="O518" t="n">
        <v>4</v>
      </c>
      <c r="P518" t="n">
        <v>0</v>
      </c>
      <c r="Q518" t="n">
        <v>5</v>
      </c>
      <c r="R518" s="2" t="inlineStr">
        <is>
          <t>Garnlav
Harticka
Spillkråka
Tretåig hackspett
Bronshjon</t>
        </is>
      </c>
      <c r="S518">
        <f>HYPERLINK("https://klasma.github.io/Logging_2482/artfynd/A 51811-2022 artfynd.xlsx", "A 51811-2022")</f>
        <v/>
      </c>
      <c r="T518">
        <f>HYPERLINK("https://klasma.github.io/Logging_2482/kartor/A 51811-2022 karta.png", "A 51811-2022")</f>
        <v/>
      </c>
      <c r="V518">
        <f>HYPERLINK("https://klasma.github.io/Logging_2482/klagomål/A 51811-2022 FSC-klagomål.docx", "A 51811-2022")</f>
        <v/>
      </c>
      <c r="W518">
        <f>HYPERLINK("https://klasma.github.io/Logging_2482/klagomålsmail/A 51811-2022 FSC-klagomål mail.docx", "A 51811-2022")</f>
        <v/>
      </c>
      <c r="X518">
        <f>HYPERLINK("https://klasma.github.io/Logging_2482/tillsyn/A 51811-2022 tillsynsbegäran.docx", "A 51811-2022")</f>
        <v/>
      </c>
      <c r="Y518">
        <f>HYPERLINK("https://klasma.github.io/Logging_2482/tillsynsmail/A 51811-2022 tillsynsbegäran mail.docx", "A 51811-2022")</f>
        <v/>
      </c>
      <c r="Z518">
        <f>HYPERLINK("https://klasma.github.io/Logging_2482/fåglar/A 51811-2022 prioriterade fågelarter.docx", "A 51811-2022")</f>
        <v/>
      </c>
    </row>
    <row r="519" ht="15" customHeight="1">
      <c r="A519" t="inlineStr">
        <is>
          <t>A 55009-2022</t>
        </is>
      </c>
      <c r="B519" s="1" t="n">
        <v>44881</v>
      </c>
      <c r="C519" s="1" t="n">
        <v>45788</v>
      </c>
      <c r="D519" t="inlineStr">
        <is>
          <t>VÄSTERBOTTENS LÄN</t>
        </is>
      </c>
      <c r="E519" t="inlineStr">
        <is>
          <t>BJURHOLM</t>
        </is>
      </c>
      <c r="G519" t="n">
        <v>11.2</v>
      </c>
      <c r="H519" t="n">
        <v>0</v>
      </c>
      <c r="I519" t="n">
        <v>3</v>
      </c>
      <c r="J519" t="n">
        <v>2</v>
      </c>
      <c r="K519" t="n">
        <v>0</v>
      </c>
      <c r="L519" t="n">
        <v>0</v>
      </c>
      <c r="M519" t="n">
        <v>0</v>
      </c>
      <c r="N519" t="n">
        <v>0</v>
      </c>
      <c r="O519" t="n">
        <v>2</v>
      </c>
      <c r="P519" t="n">
        <v>0</v>
      </c>
      <c r="Q519" t="n">
        <v>5</v>
      </c>
      <c r="R519" s="2" t="inlineStr">
        <is>
          <t>Lunglav
Mörk kolflarnlav
Skinnlav
Stuplav
Vedticka</t>
        </is>
      </c>
      <c r="S519">
        <f>HYPERLINK("https://klasma.github.io/Logging_2403/artfynd/A 55009-2022 artfynd.xlsx", "A 55009-2022")</f>
        <v/>
      </c>
      <c r="T519">
        <f>HYPERLINK("https://klasma.github.io/Logging_2403/kartor/A 55009-2022 karta.png", "A 55009-2022")</f>
        <v/>
      </c>
      <c r="V519">
        <f>HYPERLINK("https://klasma.github.io/Logging_2403/klagomål/A 55009-2022 FSC-klagomål.docx", "A 55009-2022")</f>
        <v/>
      </c>
      <c r="W519">
        <f>HYPERLINK("https://klasma.github.io/Logging_2403/klagomålsmail/A 55009-2022 FSC-klagomål mail.docx", "A 55009-2022")</f>
        <v/>
      </c>
      <c r="X519">
        <f>HYPERLINK("https://klasma.github.io/Logging_2403/tillsyn/A 55009-2022 tillsynsbegäran.docx", "A 55009-2022")</f>
        <v/>
      </c>
      <c r="Y519">
        <f>HYPERLINK("https://klasma.github.io/Logging_2403/tillsynsmail/A 55009-2022 tillsynsbegäran mail.docx", "A 55009-2022")</f>
        <v/>
      </c>
    </row>
    <row r="520" ht="15" customHeight="1">
      <c r="A520" t="inlineStr">
        <is>
          <t>A 10345-2023</t>
        </is>
      </c>
      <c r="B520" s="1" t="n">
        <v>44980</v>
      </c>
      <c r="C520" s="1" t="n">
        <v>45788</v>
      </c>
      <c r="D520" t="inlineStr">
        <is>
          <t>VÄSTERBOTTENS LÄN</t>
        </is>
      </c>
      <c r="E520" t="inlineStr">
        <is>
          <t>LYCKSELE</t>
        </is>
      </c>
      <c r="G520" t="n">
        <v>2.3</v>
      </c>
      <c r="H520" t="n">
        <v>0</v>
      </c>
      <c r="I520" t="n">
        <v>1</v>
      </c>
      <c r="J520" t="n">
        <v>4</v>
      </c>
      <c r="K520" t="n">
        <v>0</v>
      </c>
      <c r="L520" t="n">
        <v>0</v>
      </c>
      <c r="M520" t="n">
        <v>0</v>
      </c>
      <c r="N520" t="n">
        <v>0</v>
      </c>
      <c r="O520" t="n">
        <v>4</v>
      </c>
      <c r="P520" t="n">
        <v>0</v>
      </c>
      <c r="Q520" t="n">
        <v>5</v>
      </c>
      <c r="R520" s="2" t="inlineStr">
        <is>
          <t>Blå taggsvamp
Gammelgransskål
Garnlav
Orange taggsvamp
Skarp dropptaggsvamp</t>
        </is>
      </c>
      <c r="S520">
        <f>HYPERLINK("https://klasma.github.io/Logging_2481/artfynd/A 10345-2023 artfynd.xlsx", "A 10345-2023")</f>
        <v/>
      </c>
      <c r="T520">
        <f>HYPERLINK("https://klasma.github.io/Logging_2481/kartor/A 10345-2023 karta.png", "A 10345-2023")</f>
        <v/>
      </c>
      <c r="V520">
        <f>HYPERLINK("https://klasma.github.io/Logging_2481/klagomål/A 10345-2023 FSC-klagomål.docx", "A 10345-2023")</f>
        <v/>
      </c>
      <c r="W520">
        <f>HYPERLINK("https://klasma.github.io/Logging_2481/klagomålsmail/A 10345-2023 FSC-klagomål mail.docx", "A 10345-2023")</f>
        <v/>
      </c>
      <c r="X520">
        <f>HYPERLINK("https://klasma.github.io/Logging_2481/tillsyn/A 10345-2023 tillsynsbegäran.docx", "A 10345-2023")</f>
        <v/>
      </c>
      <c r="Y520">
        <f>HYPERLINK("https://klasma.github.io/Logging_2481/tillsynsmail/A 10345-2023 tillsynsbegäran mail.docx", "A 10345-2023")</f>
        <v/>
      </c>
    </row>
    <row r="521" ht="15" customHeight="1">
      <c r="A521" t="inlineStr">
        <is>
          <t>A 10386-2023</t>
        </is>
      </c>
      <c r="B521" s="1" t="n">
        <v>44981</v>
      </c>
      <c r="C521" s="1" t="n">
        <v>45788</v>
      </c>
      <c r="D521" t="inlineStr">
        <is>
          <t>VÄSTERBOTTENS LÄN</t>
        </is>
      </c>
      <c r="E521" t="inlineStr">
        <is>
          <t>LYCKSELE</t>
        </is>
      </c>
      <c r="G521" t="n">
        <v>1.1</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10386-2023 artfynd.xlsx", "A 10386-2023")</f>
        <v/>
      </c>
      <c r="T521">
        <f>HYPERLINK("https://klasma.github.io/Logging_2481/kartor/A 10386-2023 karta.png", "A 10386-2023")</f>
        <v/>
      </c>
      <c r="V521">
        <f>HYPERLINK("https://klasma.github.io/Logging_2481/klagomål/A 10386-2023 FSC-klagomål.docx", "A 10386-2023")</f>
        <v/>
      </c>
      <c r="W521">
        <f>HYPERLINK("https://klasma.github.io/Logging_2481/klagomålsmail/A 10386-2023 FSC-klagomål mail.docx", "A 10386-2023")</f>
        <v/>
      </c>
      <c r="X521">
        <f>HYPERLINK("https://klasma.github.io/Logging_2481/tillsyn/A 10386-2023 tillsynsbegäran.docx", "A 10386-2023")</f>
        <v/>
      </c>
      <c r="Y521">
        <f>HYPERLINK("https://klasma.github.io/Logging_2481/tillsynsmail/A 10386-2023 tillsynsbegäran mail.docx", "A 10386-2023")</f>
        <v/>
      </c>
      <c r="Z521">
        <f>HYPERLINK("https://klasma.github.io/Logging_2481/fåglar/A 10386-2023 prioriterade fågelarter.docx", "A 10386-2023")</f>
        <v/>
      </c>
    </row>
    <row r="522" ht="15" customHeight="1">
      <c r="A522" t="inlineStr">
        <is>
          <t>A 15648-2023</t>
        </is>
      </c>
      <c r="B522" s="1" t="n">
        <v>45019</v>
      </c>
      <c r="C522" s="1" t="n">
        <v>45788</v>
      </c>
      <c r="D522" t="inlineStr">
        <is>
          <t>VÄSTERBOTTENS LÄN</t>
        </is>
      </c>
      <c r="E522" t="inlineStr">
        <is>
          <t>UMEÅ</t>
        </is>
      </c>
      <c r="F522" t="inlineStr">
        <is>
          <t>Kommuner</t>
        </is>
      </c>
      <c r="G522" t="n">
        <v>6.9</v>
      </c>
      <c r="H522" t="n">
        <v>0</v>
      </c>
      <c r="I522" t="n">
        <v>1</v>
      </c>
      <c r="J522" t="n">
        <v>4</v>
      </c>
      <c r="K522" t="n">
        <v>0</v>
      </c>
      <c r="L522" t="n">
        <v>0</v>
      </c>
      <c r="M522" t="n">
        <v>0</v>
      </c>
      <c r="N522" t="n">
        <v>0</v>
      </c>
      <c r="O522" t="n">
        <v>4</v>
      </c>
      <c r="P522" t="n">
        <v>0</v>
      </c>
      <c r="Q522" t="n">
        <v>5</v>
      </c>
      <c r="R522" s="2" t="inlineStr">
        <is>
          <t>Gammelgransskål
Garnlav
Granticka
Ullticka
Bollvitmossa</t>
        </is>
      </c>
      <c r="S522">
        <f>HYPERLINK("https://klasma.github.io/Logging_2480/artfynd/A 15648-2023 artfynd.xlsx", "A 15648-2023")</f>
        <v/>
      </c>
      <c r="T522">
        <f>HYPERLINK("https://klasma.github.io/Logging_2480/kartor/A 15648-2023 karta.png", "A 15648-2023")</f>
        <v/>
      </c>
      <c r="V522">
        <f>HYPERLINK("https://klasma.github.io/Logging_2480/klagomål/A 15648-2023 FSC-klagomål.docx", "A 15648-2023")</f>
        <v/>
      </c>
      <c r="W522">
        <f>HYPERLINK("https://klasma.github.io/Logging_2480/klagomålsmail/A 15648-2023 FSC-klagomål mail.docx", "A 15648-2023")</f>
        <v/>
      </c>
      <c r="X522">
        <f>HYPERLINK("https://klasma.github.io/Logging_2480/tillsyn/A 15648-2023 tillsynsbegäran.docx", "A 15648-2023")</f>
        <v/>
      </c>
      <c r="Y522">
        <f>HYPERLINK("https://klasma.github.io/Logging_2480/tillsynsmail/A 15648-2023 tillsynsbegäran mail.docx", "A 15648-2023")</f>
        <v/>
      </c>
    </row>
    <row r="523" ht="15" customHeight="1">
      <c r="A523" t="inlineStr">
        <is>
          <t>A 18951-2023</t>
        </is>
      </c>
      <c r="B523" s="1" t="n">
        <v>45043</v>
      </c>
      <c r="C523" s="1" t="n">
        <v>45788</v>
      </c>
      <c r="D523" t="inlineStr">
        <is>
          <t>VÄSTERBOTTENS LÄN</t>
        </is>
      </c>
      <c r="E523" t="inlineStr">
        <is>
          <t>BJURHOLM</t>
        </is>
      </c>
      <c r="G523" t="n">
        <v>0.7</v>
      </c>
      <c r="H523" t="n">
        <v>0</v>
      </c>
      <c r="I523" t="n">
        <v>2</v>
      </c>
      <c r="J523" t="n">
        <v>3</v>
      </c>
      <c r="K523" t="n">
        <v>0</v>
      </c>
      <c r="L523" t="n">
        <v>0</v>
      </c>
      <c r="M523" t="n">
        <v>0</v>
      </c>
      <c r="N523" t="n">
        <v>0</v>
      </c>
      <c r="O523" t="n">
        <v>3</v>
      </c>
      <c r="P523" t="n">
        <v>0</v>
      </c>
      <c r="Q523" t="n">
        <v>5</v>
      </c>
      <c r="R523" s="2" t="inlineStr">
        <is>
          <t>Lunglav
Småflikig brosklav
Violettgrå tagellav
Stuplav
Vedticka</t>
        </is>
      </c>
      <c r="S523">
        <f>HYPERLINK("https://klasma.github.io/Logging_2403/artfynd/A 18951-2023 artfynd.xlsx", "A 18951-2023")</f>
        <v/>
      </c>
      <c r="T523">
        <f>HYPERLINK("https://klasma.github.io/Logging_2403/kartor/A 18951-2023 karta.png", "A 18951-2023")</f>
        <v/>
      </c>
      <c r="V523">
        <f>HYPERLINK("https://klasma.github.io/Logging_2403/klagomål/A 18951-2023 FSC-klagomål.docx", "A 18951-2023")</f>
        <v/>
      </c>
      <c r="W523">
        <f>HYPERLINK("https://klasma.github.io/Logging_2403/klagomålsmail/A 18951-2023 FSC-klagomål mail.docx", "A 18951-2023")</f>
        <v/>
      </c>
      <c r="X523">
        <f>HYPERLINK("https://klasma.github.io/Logging_2403/tillsyn/A 18951-2023 tillsynsbegäran.docx", "A 18951-2023")</f>
        <v/>
      </c>
      <c r="Y523">
        <f>HYPERLINK("https://klasma.github.io/Logging_2403/tillsynsmail/A 18951-2023 tillsynsbegäran mail.docx", "A 18951-2023")</f>
        <v/>
      </c>
    </row>
    <row r="524" ht="15" customHeight="1">
      <c r="A524" t="inlineStr">
        <is>
          <t>A 19727-2023</t>
        </is>
      </c>
      <c r="B524" s="1" t="n">
        <v>45050</v>
      </c>
      <c r="C524" s="1" t="n">
        <v>45788</v>
      </c>
      <c r="D524" t="inlineStr">
        <is>
          <t>VÄSTERBOTTENS LÄN</t>
        </is>
      </c>
      <c r="E524" t="inlineStr">
        <is>
          <t>VILHELMINA</t>
        </is>
      </c>
      <c r="G524" t="n">
        <v>11.9</v>
      </c>
      <c r="H524" t="n">
        <v>2</v>
      </c>
      <c r="I524" t="n">
        <v>0</v>
      </c>
      <c r="J524" t="n">
        <v>5</v>
      </c>
      <c r="K524" t="n">
        <v>0</v>
      </c>
      <c r="L524" t="n">
        <v>0</v>
      </c>
      <c r="M524" t="n">
        <v>0</v>
      </c>
      <c r="N524" t="n">
        <v>0</v>
      </c>
      <c r="O524" t="n">
        <v>5</v>
      </c>
      <c r="P524" t="n">
        <v>0</v>
      </c>
      <c r="Q524" t="n">
        <v>5</v>
      </c>
      <c r="R524" s="2" t="inlineStr">
        <is>
          <t>Gammelgransskål
Garnlav
Harticka
Spillkråka
Tretåig hackspett</t>
        </is>
      </c>
      <c r="S524">
        <f>HYPERLINK("https://klasma.github.io/Logging_2462/artfynd/A 19727-2023 artfynd.xlsx", "A 19727-2023")</f>
        <v/>
      </c>
      <c r="T524">
        <f>HYPERLINK("https://klasma.github.io/Logging_2462/kartor/A 19727-2023 karta.png", "A 19727-2023")</f>
        <v/>
      </c>
      <c r="V524">
        <f>HYPERLINK("https://klasma.github.io/Logging_2462/klagomål/A 19727-2023 FSC-klagomål.docx", "A 19727-2023")</f>
        <v/>
      </c>
      <c r="W524">
        <f>HYPERLINK("https://klasma.github.io/Logging_2462/klagomålsmail/A 19727-2023 FSC-klagomål mail.docx", "A 19727-2023")</f>
        <v/>
      </c>
      <c r="X524">
        <f>HYPERLINK("https://klasma.github.io/Logging_2462/tillsyn/A 19727-2023 tillsynsbegäran.docx", "A 19727-2023")</f>
        <v/>
      </c>
      <c r="Y524">
        <f>HYPERLINK("https://klasma.github.io/Logging_2462/tillsynsmail/A 19727-2023 tillsynsbegäran mail.docx", "A 19727-2023")</f>
        <v/>
      </c>
      <c r="Z524">
        <f>HYPERLINK("https://klasma.github.io/Logging_2462/fåglar/A 19727-2023 prioriterade fågelarter.docx", "A 19727-2023")</f>
        <v/>
      </c>
    </row>
    <row r="525" ht="15" customHeight="1">
      <c r="A525" t="inlineStr">
        <is>
          <t>A 20701-2023</t>
        </is>
      </c>
      <c r="B525" s="1" t="n">
        <v>45055</v>
      </c>
      <c r="C525" s="1" t="n">
        <v>45788</v>
      </c>
      <c r="D525" t="inlineStr">
        <is>
          <t>VÄSTERBOTTENS LÄN</t>
        </is>
      </c>
      <c r="E525" t="inlineStr">
        <is>
          <t>STORUMAN</t>
        </is>
      </c>
      <c r="G525" t="n">
        <v>12.7</v>
      </c>
      <c r="H525" t="n">
        <v>1</v>
      </c>
      <c r="I525" t="n">
        <v>2</v>
      </c>
      <c r="J525" t="n">
        <v>3</v>
      </c>
      <c r="K525" t="n">
        <v>0</v>
      </c>
      <c r="L525" t="n">
        <v>0</v>
      </c>
      <c r="M525" t="n">
        <v>0</v>
      </c>
      <c r="N525" t="n">
        <v>0</v>
      </c>
      <c r="O525" t="n">
        <v>3</v>
      </c>
      <c r="P525" t="n">
        <v>0</v>
      </c>
      <c r="Q525" t="n">
        <v>5</v>
      </c>
      <c r="R525" s="2" t="inlineStr">
        <is>
          <t>Garnlav
Skrovellav
Tretåig hackspett
Blodticka
Luddlav</t>
        </is>
      </c>
      <c r="S525">
        <f>HYPERLINK("https://klasma.github.io/Logging_2421/artfynd/A 20701-2023 artfynd.xlsx", "A 20701-2023")</f>
        <v/>
      </c>
      <c r="T525">
        <f>HYPERLINK("https://klasma.github.io/Logging_2421/kartor/A 20701-2023 karta.png", "A 20701-2023")</f>
        <v/>
      </c>
      <c r="V525">
        <f>HYPERLINK("https://klasma.github.io/Logging_2421/klagomål/A 20701-2023 FSC-klagomål.docx", "A 20701-2023")</f>
        <v/>
      </c>
      <c r="W525">
        <f>HYPERLINK("https://klasma.github.io/Logging_2421/klagomålsmail/A 20701-2023 FSC-klagomål mail.docx", "A 20701-2023")</f>
        <v/>
      </c>
      <c r="X525">
        <f>HYPERLINK("https://klasma.github.io/Logging_2421/tillsyn/A 20701-2023 tillsynsbegäran.docx", "A 20701-2023")</f>
        <v/>
      </c>
      <c r="Y525">
        <f>HYPERLINK("https://klasma.github.io/Logging_2421/tillsynsmail/A 20701-2023 tillsynsbegäran mail.docx", "A 20701-2023")</f>
        <v/>
      </c>
      <c r="Z525">
        <f>HYPERLINK("https://klasma.github.io/Logging_2421/fåglar/A 20701-2023 prioriterade fågelarter.docx", "A 20701-2023")</f>
        <v/>
      </c>
    </row>
    <row r="526" ht="15" customHeight="1">
      <c r="A526" t="inlineStr">
        <is>
          <t>A 25872-2023</t>
        </is>
      </c>
      <c r="B526" s="1" t="n">
        <v>45085</v>
      </c>
      <c r="C526" s="1" t="n">
        <v>45788</v>
      </c>
      <c r="D526" t="inlineStr">
        <is>
          <t>VÄSTERBOTTENS LÄN</t>
        </is>
      </c>
      <c r="E526" t="inlineStr">
        <is>
          <t>UMEÅ</t>
        </is>
      </c>
      <c r="G526" t="n">
        <v>8.5</v>
      </c>
      <c r="H526" t="n">
        <v>4</v>
      </c>
      <c r="I526" t="n">
        <v>1</v>
      </c>
      <c r="J526" t="n">
        <v>3</v>
      </c>
      <c r="K526" t="n">
        <v>0</v>
      </c>
      <c r="L526" t="n">
        <v>0</v>
      </c>
      <c r="M526" t="n">
        <v>0</v>
      </c>
      <c r="N526" t="n">
        <v>0</v>
      </c>
      <c r="O526" t="n">
        <v>3</v>
      </c>
      <c r="P526" t="n">
        <v>0</v>
      </c>
      <c r="Q526" t="n">
        <v>5</v>
      </c>
      <c r="R526" s="2" t="inlineStr">
        <is>
          <t>Spillkråka
Talltita
Tretåig hackspett
Vedticka
Kungsfågel</t>
        </is>
      </c>
      <c r="S526">
        <f>HYPERLINK("https://klasma.github.io/Logging_2480/artfynd/A 25872-2023 artfynd.xlsx", "A 25872-2023")</f>
        <v/>
      </c>
      <c r="T526">
        <f>HYPERLINK("https://klasma.github.io/Logging_2480/kartor/A 25872-2023 karta.png", "A 25872-2023")</f>
        <v/>
      </c>
      <c r="V526">
        <f>HYPERLINK("https://klasma.github.io/Logging_2480/klagomål/A 25872-2023 FSC-klagomål.docx", "A 25872-2023")</f>
        <v/>
      </c>
      <c r="W526">
        <f>HYPERLINK("https://klasma.github.io/Logging_2480/klagomålsmail/A 25872-2023 FSC-klagomål mail.docx", "A 25872-2023")</f>
        <v/>
      </c>
      <c r="X526">
        <f>HYPERLINK("https://klasma.github.io/Logging_2480/tillsyn/A 25872-2023 tillsynsbegäran.docx", "A 25872-2023")</f>
        <v/>
      </c>
      <c r="Y526">
        <f>HYPERLINK("https://klasma.github.io/Logging_2480/tillsynsmail/A 25872-2023 tillsynsbegäran mail.docx", "A 25872-2023")</f>
        <v/>
      </c>
      <c r="Z526">
        <f>HYPERLINK("https://klasma.github.io/Logging_2480/fåglar/A 25872-2023 prioriterade fågelarter.docx", "A 25872-2023")</f>
        <v/>
      </c>
    </row>
    <row r="527" ht="15" customHeight="1">
      <c r="A527" t="inlineStr">
        <is>
          <t>A 31594-2023</t>
        </is>
      </c>
      <c r="B527" s="1" t="n">
        <v>45117</v>
      </c>
      <c r="C527" s="1" t="n">
        <v>45788</v>
      </c>
      <c r="D527" t="inlineStr">
        <is>
          <t>VÄSTERBOTTENS LÄN</t>
        </is>
      </c>
      <c r="E527" t="inlineStr">
        <is>
          <t>SKELLEFTEÅ</t>
        </is>
      </c>
      <c r="F527" t="inlineStr">
        <is>
          <t>Holmen skog AB</t>
        </is>
      </c>
      <c r="G527" t="n">
        <v>11.3</v>
      </c>
      <c r="H527" t="n">
        <v>1</v>
      </c>
      <c r="I527" t="n">
        <v>2</v>
      </c>
      <c r="J527" t="n">
        <v>2</v>
      </c>
      <c r="K527" t="n">
        <v>1</v>
      </c>
      <c r="L527" t="n">
        <v>0</v>
      </c>
      <c r="M527" t="n">
        <v>0</v>
      </c>
      <c r="N527" t="n">
        <v>0</v>
      </c>
      <c r="O527" t="n">
        <v>3</v>
      </c>
      <c r="P527" t="n">
        <v>1</v>
      </c>
      <c r="Q527" t="n">
        <v>5</v>
      </c>
      <c r="R527" s="2" t="inlineStr">
        <is>
          <t>Doftticka
Garnlav
Lunglav
Bårdlav
Stuplav</t>
        </is>
      </c>
      <c r="S527">
        <f>HYPERLINK("https://klasma.github.io/Logging_2482/artfynd/A 31594-2023 artfynd.xlsx", "A 31594-2023")</f>
        <v/>
      </c>
      <c r="T527">
        <f>HYPERLINK("https://klasma.github.io/Logging_2482/kartor/A 31594-2023 karta.png", "A 31594-2023")</f>
        <v/>
      </c>
      <c r="V527">
        <f>HYPERLINK("https://klasma.github.io/Logging_2482/klagomål/A 31594-2023 FSC-klagomål.docx", "A 31594-2023")</f>
        <v/>
      </c>
      <c r="W527">
        <f>HYPERLINK("https://klasma.github.io/Logging_2482/klagomålsmail/A 31594-2023 FSC-klagomål mail.docx", "A 31594-2023")</f>
        <v/>
      </c>
      <c r="X527">
        <f>HYPERLINK("https://klasma.github.io/Logging_2482/tillsyn/A 31594-2023 tillsynsbegäran.docx", "A 31594-2023")</f>
        <v/>
      </c>
      <c r="Y527">
        <f>HYPERLINK("https://klasma.github.io/Logging_2482/tillsynsmail/A 31594-2023 tillsynsbegäran mail.docx", "A 31594-2023")</f>
        <v/>
      </c>
    </row>
    <row r="528" ht="15" customHeight="1">
      <c r="A528" t="inlineStr">
        <is>
          <t>A 38646-2023</t>
        </is>
      </c>
      <c r="B528" s="1" t="n">
        <v>45162</v>
      </c>
      <c r="C528" s="1" t="n">
        <v>45788</v>
      </c>
      <c r="D528" t="inlineStr">
        <is>
          <t>VÄSTERBOTTENS LÄN</t>
        </is>
      </c>
      <c r="E528" t="inlineStr">
        <is>
          <t>MALÅ</t>
        </is>
      </c>
      <c r="F528" t="inlineStr">
        <is>
          <t>Sveaskog</t>
        </is>
      </c>
      <c r="G528" t="n">
        <v>13.7</v>
      </c>
      <c r="H528" t="n">
        <v>0</v>
      </c>
      <c r="I528" t="n">
        <v>2</v>
      </c>
      <c r="J528" t="n">
        <v>3</v>
      </c>
      <c r="K528" t="n">
        <v>0</v>
      </c>
      <c r="L528" t="n">
        <v>0</v>
      </c>
      <c r="M528" t="n">
        <v>0</v>
      </c>
      <c r="N528" t="n">
        <v>0</v>
      </c>
      <c r="O528" t="n">
        <v>3</v>
      </c>
      <c r="P528" t="n">
        <v>0</v>
      </c>
      <c r="Q528" t="n">
        <v>5</v>
      </c>
      <c r="R528" s="2" t="inlineStr">
        <is>
          <t>Blå taggsvamp
Kolflarnlav
Orange taggsvamp
Dropptaggsvamp
Skarp dropptaggsvamp</t>
        </is>
      </c>
      <c r="S528">
        <f>HYPERLINK("https://klasma.github.io/Logging_2418/artfynd/A 38646-2023 artfynd.xlsx", "A 38646-2023")</f>
        <v/>
      </c>
      <c r="T528">
        <f>HYPERLINK("https://klasma.github.io/Logging_2418/kartor/A 38646-2023 karta.png", "A 38646-2023")</f>
        <v/>
      </c>
      <c r="V528">
        <f>HYPERLINK("https://klasma.github.io/Logging_2418/klagomål/A 38646-2023 FSC-klagomål.docx", "A 38646-2023")</f>
        <v/>
      </c>
      <c r="W528">
        <f>HYPERLINK("https://klasma.github.io/Logging_2418/klagomålsmail/A 38646-2023 FSC-klagomål mail.docx", "A 38646-2023")</f>
        <v/>
      </c>
      <c r="X528">
        <f>HYPERLINK("https://klasma.github.io/Logging_2418/tillsyn/A 38646-2023 tillsynsbegäran.docx", "A 38646-2023")</f>
        <v/>
      </c>
      <c r="Y528">
        <f>HYPERLINK("https://klasma.github.io/Logging_2418/tillsynsmail/A 38646-2023 tillsynsbegäran mail.docx", "A 38646-2023")</f>
        <v/>
      </c>
    </row>
    <row r="529" ht="15" customHeight="1">
      <c r="A529" t="inlineStr">
        <is>
          <t>A 39616-2023</t>
        </is>
      </c>
      <c r="B529" s="1" t="n">
        <v>45167</v>
      </c>
      <c r="C529" s="1" t="n">
        <v>45788</v>
      </c>
      <c r="D529" t="inlineStr">
        <is>
          <t>VÄSTERBOTTENS LÄN</t>
        </is>
      </c>
      <c r="E529" t="inlineStr">
        <is>
          <t>BJURHOLM</t>
        </is>
      </c>
      <c r="F529" t="inlineStr">
        <is>
          <t>Sveaskog</t>
        </is>
      </c>
      <c r="G529" t="n">
        <v>8.5</v>
      </c>
      <c r="H529" t="n">
        <v>0</v>
      </c>
      <c r="I529" t="n">
        <v>1</v>
      </c>
      <c r="J529" t="n">
        <v>3</v>
      </c>
      <c r="K529" t="n">
        <v>1</v>
      </c>
      <c r="L529" t="n">
        <v>0</v>
      </c>
      <c r="M529" t="n">
        <v>0</v>
      </c>
      <c r="N529" t="n">
        <v>0</v>
      </c>
      <c r="O529" t="n">
        <v>4</v>
      </c>
      <c r="P529" t="n">
        <v>1</v>
      </c>
      <c r="Q529" t="n">
        <v>5</v>
      </c>
      <c r="R529" s="2" t="inlineStr">
        <is>
          <t>Gräddporing
Garnlav
Leptoporus erubescens
Lunglav
Gytterlav</t>
        </is>
      </c>
      <c r="S529">
        <f>HYPERLINK("https://klasma.github.io/Logging_2403/artfynd/A 39616-2023 artfynd.xlsx", "A 39616-2023")</f>
        <v/>
      </c>
      <c r="T529">
        <f>HYPERLINK("https://klasma.github.io/Logging_2403/kartor/A 39616-2023 karta.png", "A 39616-2023")</f>
        <v/>
      </c>
      <c r="V529">
        <f>HYPERLINK("https://klasma.github.io/Logging_2403/klagomål/A 39616-2023 FSC-klagomål.docx", "A 39616-2023")</f>
        <v/>
      </c>
      <c r="W529">
        <f>HYPERLINK("https://klasma.github.io/Logging_2403/klagomålsmail/A 39616-2023 FSC-klagomål mail.docx", "A 39616-2023")</f>
        <v/>
      </c>
      <c r="X529">
        <f>HYPERLINK("https://klasma.github.io/Logging_2403/tillsyn/A 39616-2023 tillsynsbegäran.docx", "A 39616-2023")</f>
        <v/>
      </c>
      <c r="Y529">
        <f>HYPERLINK("https://klasma.github.io/Logging_2403/tillsynsmail/A 39616-2023 tillsynsbegäran mail.docx", "A 39616-2023")</f>
        <v/>
      </c>
    </row>
    <row r="530" ht="15" customHeight="1">
      <c r="A530" t="inlineStr">
        <is>
          <t>A 42046-2023</t>
        </is>
      </c>
      <c r="B530" s="1" t="n">
        <v>45177</v>
      </c>
      <c r="C530" s="1" t="n">
        <v>45788</v>
      </c>
      <c r="D530" t="inlineStr">
        <is>
          <t>VÄSTERBOTTENS LÄN</t>
        </is>
      </c>
      <c r="E530" t="inlineStr">
        <is>
          <t>ÅSELE</t>
        </is>
      </c>
      <c r="F530" t="inlineStr">
        <is>
          <t>Holmen skog AB</t>
        </is>
      </c>
      <c r="G530" t="n">
        <v>3.6</v>
      </c>
      <c r="H530" t="n">
        <v>0</v>
      </c>
      <c r="I530" t="n">
        <v>1</v>
      </c>
      <c r="J530" t="n">
        <v>4</v>
      </c>
      <c r="K530" t="n">
        <v>0</v>
      </c>
      <c r="L530" t="n">
        <v>0</v>
      </c>
      <c r="M530" t="n">
        <v>0</v>
      </c>
      <c r="N530" t="n">
        <v>0</v>
      </c>
      <c r="O530" t="n">
        <v>4</v>
      </c>
      <c r="P530" t="n">
        <v>0</v>
      </c>
      <c r="Q530" t="n">
        <v>5</v>
      </c>
      <c r="R530" s="2" t="inlineStr">
        <is>
          <t>Granticka
Kortskaftad ärgspik
Lunglav
Skrovellav
Luddlav</t>
        </is>
      </c>
      <c r="S530">
        <f>HYPERLINK("https://klasma.github.io/Logging_2463/artfynd/A 42046-2023 artfynd.xlsx", "A 42046-2023")</f>
        <v/>
      </c>
      <c r="T530">
        <f>HYPERLINK("https://klasma.github.io/Logging_2463/kartor/A 42046-2023 karta.png", "A 42046-2023")</f>
        <v/>
      </c>
      <c r="V530">
        <f>HYPERLINK("https://klasma.github.io/Logging_2463/klagomål/A 42046-2023 FSC-klagomål.docx", "A 42046-2023")</f>
        <v/>
      </c>
      <c r="W530">
        <f>HYPERLINK("https://klasma.github.io/Logging_2463/klagomålsmail/A 42046-2023 FSC-klagomål mail.docx", "A 42046-2023")</f>
        <v/>
      </c>
      <c r="X530">
        <f>HYPERLINK("https://klasma.github.io/Logging_2463/tillsyn/A 42046-2023 tillsynsbegäran.docx", "A 42046-2023")</f>
        <v/>
      </c>
      <c r="Y530">
        <f>HYPERLINK("https://klasma.github.io/Logging_2463/tillsynsmail/A 42046-2023 tillsynsbegäran mail.docx", "A 42046-2023")</f>
        <v/>
      </c>
    </row>
    <row r="531" ht="15" customHeight="1">
      <c r="A531" t="inlineStr">
        <is>
          <t>A 52787-2023</t>
        </is>
      </c>
      <c r="B531" s="1" t="n">
        <v>45219</v>
      </c>
      <c r="C531" s="1" t="n">
        <v>45788</v>
      </c>
      <c r="D531" t="inlineStr">
        <is>
          <t>VÄSTERBOTTENS LÄN</t>
        </is>
      </c>
      <c r="E531" t="inlineStr">
        <is>
          <t>NORDMALING</t>
        </is>
      </c>
      <c r="G531" t="n">
        <v>6.2</v>
      </c>
      <c r="H531" t="n">
        <v>2</v>
      </c>
      <c r="I531" t="n">
        <v>2</v>
      </c>
      <c r="J531" t="n">
        <v>3</v>
      </c>
      <c r="K531" t="n">
        <v>0</v>
      </c>
      <c r="L531" t="n">
        <v>0</v>
      </c>
      <c r="M531" t="n">
        <v>0</v>
      </c>
      <c r="N531" t="n">
        <v>0</v>
      </c>
      <c r="O531" t="n">
        <v>3</v>
      </c>
      <c r="P531" t="n">
        <v>0</v>
      </c>
      <c r="Q531" t="n">
        <v>5</v>
      </c>
      <c r="R531" s="2" t="inlineStr">
        <is>
          <t>Garnlav
Spillkråka
Tretåig hackspett
Rostfläck
Skinnlav</t>
        </is>
      </c>
      <c r="S531">
        <f>HYPERLINK("https://klasma.github.io/Logging_2401/artfynd/A 52787-2023 artfynd.xlsx", "A 52787-2023")</f>
        <v/>
      </c>
      <c r="T531">
        <f>HYPERLINK("https://klasma.github.io/Logging_2401/kartor/A 52787-2023 karta.png", "A 52787-2023")</f>
        <v/>
      </c>
      <c r="V531">
        <f>HYPERLINK("https://klasma.github.io/Logging_2401/klagomål/A 52787-2023 FSC-klagomål.docx", "A 52787-2023")</f>
        <v/>
      </c>
      <c r="W531">
        <f>HYPERLINK("https://klasma.github.io/Logging_2401/klagomålsmail/A 52787-2023 FSC-klagomål mail.docx", "A 52787-2023")</f>
        <v/>
      </c>
      <c r="X531">
        <f>HYPERLINK("https://klasma.github.io/Logging_2401/tillsyn/A 52787-2023 tillsynsbegäran.docx", "A 52787-2023")</f>
        <v/>
      </c>
      <c r="Y531">
        <f>HYPERLINK("https://klasma.github.io/Logging_2401/tillsynsmail/A 52787-2023 tillsynsbegäran mail.docx", "A 52787-2023")</f>
        <v/>
      </c>
      <c r="Z531">
        <f>HYPERLINK("https://klasma.github.io/Logging_2401/fåglar/A 52787-2023 prioriterade fågelarter.docx", "A 52787-2023")</f>
        <v/>
      </c>
    </row>
    <row r="532" ht="15" customHeight="1">
      <c r="A532" t="inlineStr">
        <is>
          <t>A 54047-2023</t>
        </is>
      </c>
      <c r="B532" s="1" t="n">
        <v>45231</v>
      </c>
      <c r="C532" s="1" t="n">
        <v>45788</v>
      </c>
      <c r="D532" t="inlineStr">
        <is>
          <t>VÄSTERBOTTENS LÄN</t>
        </is>
      </c>
      <c r="E532" t="inlineStr">
        <is>
          <t>DOROTEA</t>
        </is>
      </c>
      <c r="F532" t="inlineStr">
        <is>
          <t>SCA</t>
        </is>
      </c>
      <c r="G532" t="n">
        <v>3</v>
      </c>
      <c r="H532" t="n">
        <v>1</v>
      </c>
      <c r="I532" t="n">
        <v>1</v>
      </c>
      <c r="J532" t="n">
        <v>4</v>
      </c>
      <c r="K532" t="n">
        <v>0</v>
      </c>
      <c r="L532" t="n">
        <v>0</v>
      </c>
      <c r="M532" t="n">
        <v>0</v>
      </c>
      <c r="N532" t="n">
        <v>0</v>
      </c>
      <c r="O532" t="n">
        <v>4</v>
      </c>
      <c r="P532" t="n">
        <v>0</v>
      </c>
      <c r="Q532" t="n">
        <v>5</v>
      </c>
      <c r="R532" s="2" t="inlineStr">
        <is>
          <t>Garnlav
Harticka
Skrovellav
Tretåig hackspett
Luddlav</t>
        </is>
      </c>
      <c r="S532">
        <f>HYPERLINK("https://klasma.github.io/Logging_2425/artfynd/A 54047-2023 artfynd.xlsx", "A 54047-2023")</f>
        <v/>
      </c>
      <c r="T532">
        <f>HYPERLINK("https://klasma.github.io/Logging_2425/kartor/A 54047-2023 karta.png", "A 54047-2023")</f>
        <v/>
      </c>
      <c r="V532">
        <f>HYPERLINK("https://klasma.github.io/Logging_2425/klagomål/A 54047-2023 FSC-klagomål.docx", "A 54047-2023")</f>
        <v/>
      </c>
      <c r="W532">
        <f>HYPERLINK("https://klasma.github.io/Logging_2425/klagomålsmail/A 54047-2023 FSC-klagomål mail.docx", "A 54047-2023")</f>
        <v/>
      </c>
      <c r="X532">
        <f>HYPERLINK("https://klasma.github.io/Logging_2425/tillsyn/A 54047-2023 tillsynsbegäran.docx", "A 54047-2023")</f>
        <v/>
      </c>
      <c r="Y532">
        <f>HYPERLINK("https://klasma.github.io/Logging_2425/tillsynsmail/A 54047-2023 tillsynsbegäran mail.docx", "A 54047-2023")</f>
        <v/>
      </c>
      <c r="Z532">
        <f>HYPERLINK("https://klasma.github.io/Logging_2425/fåglar/A 54047-2023 prioriterade fågelarter.docx", "A 54047-2023")</f>
        <v/>
      </c>
    </row>
    <row r="533" ht="15" customHeight="1">
      <c r="A533" t="inlineStr">
        <is>
          <t>A 55814-2023</t>
        </is>
      </c>
      <c r="B533" s="1" t="n">
        <v>45239</v>
      </c>
      <c r="C533" s="1" t="n">
        <v>45788</v>
      </c>
      <c r="D533" t="inlineStr">
        <is>
          <t>VÄSTERBOTTENS LÄN</t>
        </is>
      </c>
      <c r="E533" t="inlineStr">
        <is>
          <t>NORDMALING</t>
        </is>
      </c>
      <c r="G533" t="n">
        <v>2.7</v>
      </c>
      <c r="H533" t="n">
        <v>1</v>
      </c>
      <c r="I533" t="n">
        <v>1</v>
      </c>
      <c r="J533" t="n">
        <v>4</v>
      </c>
      <c r="K533" t="n">
        <v>0</v>
      </c>
      <c r="L533" t="n">
        <v>0</v>
      </c>
      <c r="M533" t="n">
        <v>0</v>
      </c>
      <c r="N533" t="n">
        <v>0</v>
      </c>
      <c r="O533" t="n">
        <v>4</v>
      </c>
      <c r="P533" t="n">
        <v>0</v>
      </c>
      <c r="Q533" t="n">
        <v>5</v>
      </c>
      <c r="R533" s="2" t="inlineStr">
        <is>
          <t>Garnlav
Granticka
Tretåig hackspett
Ullticka
Vågbandad barkbock</t>
        </is>
      </c>
      <c r="S533">
        <f>HYPERLINK("https://klasma.github.io/Logging_2401/artfynd/A 55814-2023 artfynd.xlsx", "A 55814-2023")</f>
        <v/>
      </c>
      <c r="T533">
        <f>HYPERLINK("https://klasma.github.io/Logging_2401/kartor/A 55814-2023 karta.png", "A 55814-2023")</f>
        <v/>
      </c>
      <c r="V533">
        <f>HYPERLINK("https://klasma.github.io/Logging_2401/klagomål/A 55814-2023 FSC-klagomål.docx", "A 55814-2023")</f>
        <v/>
      </c>
      <c r="W533">
        <f>HYPERLINK("https://klasma.github.io/Logging_2401/klagomålsmail/A 55814-2023 FSC-klagomål mail.docx", "A 55814-2023")</f>
        <v/>
      </c>
      <c r="X533">
        <f>HYPERLINK("https://klasma.github.io/Logging_2401/tillsyn/A 55814-2023 tillsynsbegäran.docx", "A 55814-2023")</f>
        <v/>
      </c>
      <c r="Y533">
        <f>HYPERLINK("https://klasma.github.io/Logging_2401/tillsynsmail/A 55814-2023 tillsynsbegäran mail.docx", "A 55814-2023")</f>
        <v/>
      </c>
      <c r="Z533">
        <f>HYPERLINK("https://klasma.github.io/Logging_2401/fåglar/A 55814-2023 prioriterade fågelarter.docx", "A 55814-2023")</f>
        <v/>
      </c>
    </row>
    <row r="534" ht="15" customHeight="1">
      <c r="A534" t="inlineStr">
        <is>
          <t>A 58205-2023</t>
        </is>
      </c>
      <c r="B534" s="1" t="n">
        <v>45250</v>
      </c>
      <c r="C534" s="1" t="n">
        <v>45788</v>
      </c>
      <c r="D534" t="inlineStr">
        <is>
          <t>VÄSTERBOTTENS LÄN</t>
        </is>
      </c>
      <c r="E534" t="inlineStr">
        <is>
          <t>LYCKSELE</t>
        </is>
      </c>
      <c r="F534" t="inlineStr">
        <is>
          <t>Sveaskog</t>
        </is>
      </c>
      <c r="G534" t="n">
        <v>3.3</v>
      </c>
      <c r="H534" t="n">
        <v>2</v>
      </c>
      <c r="I534" t="n">
        <v>0</v>
      </c>
      <c r="J534" t="n">
        <v>4</v>
      </c>
      <c r="K534" t="n">
        <v>0</v>
      </c>
      <c r="L534" t="n">
        <v>0</v>
      </c>
      <c r="M534" t="n">
        <v>0</v>
      </c>
      <c r="N534" t="n">
        <v>0</v>
      </c>
      <c r="O534" t="n">
        <v>4</v>
      </c>
      <c r="P534" t="n">
        <v>0</v>
      </c>
      <c r="Q534" t="n">
        <v>5</v>
      </c>
      <c r="R534" s="2" t="inlineStr">
        <is>
          <t>Garnlav
Reliktbock
Tallticka
Varglav
Lavskrika</t>
        </is>
      </c>
      <c r="S534">
        <f>HYPERLINK("https://klasma.github.io/Logging_2481/artfynd/A 58205-2023 artfynd.xlsx", "A 58205-2023")</f>
        <v/>
      </c>
      <c r="T534">
        <f>HYPERLINK("https://klasma.github.io/Logging_2481/kartor/A 58205-2023 karta.png", "A 58205-2023")</f>
        <v/>
      </c>
      <c r="V534">
        <f>HYPERLINK("https://klasma.github.io/Logging_2481/klagomål/A 58205-2023 FSC-klagomål.docx", "A 58205-2023")</f>
        <v/>
      </c>
      <c r="W534">
        <f>HYPERLINK("https://klasma.github.io/Logging_2481/klagomålsmail/A 58205-2023 FSC-klagomål mail.docx", "A 58205-2023")</f>
        <v/>
      </c>
      <c r="X534">
        <f>HYPERLINK("https://klasma.github.io/Logging_2481/tillsyn/A 58205-2023 tillsynsbegäran.docx", "A 58205-2023")</f>
        <v/>
      </c>
      <c r="Y534">
        <f>HYPERLINK("https://klasma.github.io/Logging_2481/tillsynsmail/A 58205-2023 tillsynsbegäran mail.docx", "A 58205-2023")</f>
        <v/>
      </c>
      <c r="Z534">
        <f>HYPERLINK("https://klasma.github.io/Logging_2481/fåglar/A 58205-2023 prioriterade fågelarter.docx", "A 58205-2023")</f>
        <v/>
      </c>
    </row>
    <row r="535" ht="15" customHeight="1">
      <c r="A535" t="inlineStr">
        <is>
          <t>A 58366-2023</t>
        </is>
      </c>
      <c r="B535" s="1" t="n">
        <v>45250</v>
      </c>
      <c r="C535" s="1" t="n">
        <v>45788</v>
      </c>
      <c r="D535" t="inlineStr">
        <is>
          <t>VÄSTERBOTTENS LÄN</t>
        </is>
      </c>
      <c r="E535" t="inlineStr">
        <is>
          <t>LYCKSELE</t>
        </is>
      </c>
      <c r="F535" t="inlineStr">
        <is>
          <t>Sveaskog</t>
        </is>
      </c>
      <c r="G535" t="n">
        <v>7</v>
      </c>
      <c r="H535" t="n">
        <v>1</v>
      </c>
      <c r="I535" t="n">
        <v>1</v>
      </c>
      <c r="J535" t="n">
        <v>3</v>
      </c>
      <c r="K535" t="n">
        <v>1</v>
      </c>
      <c r="L535" t="n">
        <v>0</v>
      </c>
      <c r="M535" t="n">
        <v>0</v>
      </c>
      <c r="N535" t="n">
        <v>0</v>
      </c>
      <c r="O535" t="n">
        <v>4</v>
      </c>
      <c r="P535" t="n">
        <v>1</v>
      </c>
      <c r="Q535" t="n">
        <v>5</v>
      </c>
      <c r="R535" s="2" t="inlineStr">
        <is>
          <t>Doftticka
Garnlav
Lunglav
Skrovellav
Stuplav</t>
        </is>
      </c>
      <c r="S535">
        <f>HYPERLINK("https://klasma.github.io/Logging_2481/artfynd/A 58366-2023 artfynd.xlsx", "A 58366-2023")</f>
        <v/>
      </c>
      <c r="T535">
        <f>HYPERLINK("https://klasma.github.io/Logging_2481/kartor/A 58366-2023 karta.png", "A 58366-2023")</f>
        <v/>
      </c>
      <c r="V535">
        <f>HYPERLINK("https://klasma.github.io/Logging_2481/klagomål/A 58366-2023 FSC-klagomål.docx", "A 58366-2023")</f>
        <v/>
      </c>
      <c r="W535">
        <f>HYPERLINK("https://klasma.github.io/Logging_2481/klagomålsmail/A 58366-2023 FSC-klagomål mail.docx", "A 58366-2023")</f>
        <v/>
      </c>
      <c r="X535">
        <f>HYPERLINK("https://klasma.github.io/Logging_2481/tillsyn/A 58366-2023 tillsynsbegäran.docx", "A 58366-2023")</f>
        <v/>
      </c>
      <c r="Y535">
        <f>HYPERLINK("https://klasma.github.io/Logging_2481/tillsynsmail/A 58366-2023 tillsynsbegäran mail.docx", "A 58366-2023")</f>
        <v/>
      </c>
    </row>
    <row r="536" ht="15" customHeight="1">
      <c r="A536" t="inlineStr">
        <is>
          <t>A 63255-2023</t>
        </is>
      </c>
      <c r="B536" s="1" t="n">
        <v>45273</v>
      </c>
      <c r="C536" s="1" t="n">
        <v>45788</v>
      </c>
      <c r="D536" t="inlineStr">
        <is>
          <t>VÄSTERBOTTENS LÄN</t>
        </is>
      </c>
      <c r="E536" t="inlineStr">
        <is>
          <t>NORDMALING</t>
        </is>
      </c>
      <c r="G536" t="n">
        <v>2.4</v>
      </c>
      <c r="H536" t="n">
        <v>1</v>
      </c>
      <c r="I536" t="n">
        <v>4</v>
      </c>
      <c r="J536" t="n">
        <v>1</v>
      </c>
      <c r="K536" t="n">
        <v>0</v>
      </c>
      <c r="L536" t="n">
        <v>0</v>
      </c>
      <c r="M536" t="n">
        <v>0</v>
      </c>
      <c r="N536" t="n">
        <v>0</v>
      </c>
      <c r="O536" t="n">
        <v>1</v>
      </c>
      <c r="P536" t="n">
        <v>0</v>
      </c>
      <c r="Q536" t="n">
        <v>5</v>
      </c>
      <c r="R536" s="2" t="inlineStr">
        <is>
          <t>Svartvit flugsnappare
Dropptaggsvamp
Nästlav
Skinnlav
Trådticka</t>
        </is>
      </c>
      <c r="S536">
        <f>HYPERLINK("https://klasma.github.io/Logging_2401/artfynd/A 63255-2023 artfynd.xlsx", "A 63255-2023")</f>
        <v/>
      </c>
      <c r="T536">
        <f>HYPERLINK("https://klasma.github.io/Logging_2401/kartor/A 63255-2023 karta.png", "A 63255-2023")</f>
        <v/>
      </c>
      <c r="V536">
        <f>HYPERLINK("https://klasma.github.io/Logging_2401/klagomål/A 63255-2023 FSC-klagomål.docx", "A 63255-2023")</f>
        <v/>
      </c>
      <c r="W536">
        <f>HYPERLINK("https://klasma.github.io/Logging_2401/klagomålsmail/A 63255-2023 FSC-klagomål mail.docx", "A 63255-2023")</f>
        <v/>
      </c>
      <c r="X536">
        <f>HYPERLINK("https://klasma.github.io/Logging_2401/tillsyn/A 63255-2023 tillsynsbegäran.docx", "A 63255-2023")</f>
        <v/>
      </c>
      <c r="Y536">
        <f>HYPERLINK("https://klasma.github.io/Logging_2401/tillsynsmail/A 63255-2023 tillsynsbegäran mail.docx", "A 63255-2023")</f>
        <v/>
      </c>
      <c r="Z536">
        <f>HYPERLINK("https://klasma.github.io/Logging_2401/fåglar/A 63255-2023 prioriterade fågelarter.docx", "A 63255-2023")</f>
        <v/>
      </c>
    </row>
    <row r="537" ht="15" customHeight="1">
      <c r="A537" t="inlineStr">
        <is>
          <t>A 2274-2024</t>
        </is>
      </c>
      <c r="B537" s="1" t="n">
        <v>45310</v>
      </c>
      <c r="C537" s="1" t="n">
        <v>45788</v>
      </c>
      <c r="D537" t="inlineStr">
        <is>
          <t>VÄSTERBOTTENS LÄN</t>
        </is>
      </c>
      <c r="E537" t="inlineStr">
        <is>
          <t>VINDELN</t>
        </is>
      </c>
      <c r="G537" t="n">
        <v>7.9</v>
      </c>
      <c r="H537" t="n">
        <v>1</v>
      </c>
      <c r="I537" t="n">
        <v>1</v>
      </c>
      <c r="J537" t="n">
        <v>3</v>
      </c>
      <c r="K537" t="n">
        <v>1</v>
      </c>
      <c r="L537" t="n">
        <v>0</v>
      </c>
      <c r="M537" t="n">
        <v>0</v>
      </c>
      <c r="N537" t="n">
        <v>0</v>
      </c>
      <c r="O537" t="n">
        <v>4</v>
      </c>
      <c r="P537" t="n">
        <v>1</v>
      </c>
      <c r="Q537" t="n">
        <v>5</v>
      </c>
      <c r="R537" s="2" t="inlineStr">
        <is>
          <t>Knärot
Garnlav
Lunglav
Stiftgelélav
Bårdlav</t>
        </is>
      </c>
      <c r="S537">
        <f>HYPERLINK("https://klasma.github.io/Logging_2404/artfynd/A 2274-2024 artfynd.xlsx", "A 2274-2024")</f>
        <v/>
      </c>
      <c r="T537">
        <f>HYPERLINK("https://klasma.github.io/Logging_2404/kartor/A 2274-2024 karta.png", "A 2274-2024")</f>
        <v/>
      </c>
      <c r="U537">
        <f>HYPERLINK("https://klasma.github.io/Logging_2404/knärot/A 2274-2024 karta knärot.png", "A 2274-2024")</f>
        <v/>
      </c>
      <c r="V537">
        <f>HYPERLINK("https://klasma.github.io/Logging_2404/klagomål/A 2274-2024 FSC-klagomål.docx", "A 2274-2024")</f>
        <v/>
      </c>
      <c r="W537">
        <f>HYPERLINK("https://klasma.github.io/Logging_2404/klagomålsmail/A 2274-2024 FSC-klagomål mail.docx", "A 2274-2024")</f>
        <v/>
      </c>
      <c r="X537">
        <f>HYPERLINK("https://klasma.github.io/Logging_2404/tillsyn/A 2274-2024 tillsynsbegäran.docx", "A 2274-2024")</f>
        <v/>
      </c>
      <c r="Y537">
        <f>HYPERLINK("https://klasma.github.io/Logging_2404/tillsynsmail/A 2274-2024 tillsynsbegäran mail.docx", "A 2274-2024")</f>
        <v/>
      </c>
    </row>
    <row r="538" ht="15" customHeight="1">
      <c r="A538" t="inlineStr">
        <is>
          <t>A 8655-2024</t>
        </is>
      </c>
      <c r="B538" s="1" t="n">
        <v>45356</v>
      </c>
      <c r="C538" s="1" t="n">
        <v>45788</v>
      </c>
      <c r="D538" t="inlineStr">
        <is>
          <t>VÄSTERBOTTENS LÄN</t>
        </is>
      </c>
      <c r="E538" t="inlineStr">
        <is>
          <t>ÅSELE</t>
        </is>
      </c>
      <c r="F538" t="inlineStr">
        <is>
          <t>SCA</t>
        </is>
      </c>
      <c r="G538" t="n">
        <v>12.3</v>
      </c>
      <c r="H538" t="n">
        <v>0</v>
      </c>
      <c r="I538" t="n">
        <v>2</v>
      </c>
      <c r="J538" t="n">
        <v>3</v>
      </c>
      <c r="K538" t="n">
        <v>0</v>
      </c>
      <c r="L538" t="n">
        <v>0</v>
      </c>
      <c r="M538" t="n">
        <v>0</v>
      </c>
      <c r="N538" t="n">
        <v>0</v>
      </c>
      <c r="O538" t="n">
        <v>3</v>
      </c>
      <c r="P538" t="n">
        <v>0</v>
      </c>
      <c r="Q538" t="n">
        <v>5</v>
      </c>
      <c r="R538" s="2" t="inlineStr">
        <is>
          <t>Garnlav
Lunglav
Skrovellav
Bårdlav
Stuplav</t>
        </is>
      </c>
      <c r="S538">
        <f>HYPERLINK("https://klasma.github.io/Logging_2463/artfynd/A 8655-2024 artfynd.xlsx", "A 8655-2024")</f>
        <v/>
      </c>
      <c r="T538">
        <f>HYPERLINK("https://klasma.github.io/Logging_2463/kartor/A 8655-2024 karta.png", "A 8655-2024")</f>
        <v/>
      </c>
      <c r="V538">
        <f>HYPERLINK("https://klasma.github.io/Logging_2463/klagomål/A 8655-2024 FSC-klagomål.docx", "A 8655-2024")</f>
        <v/>
      </c>
      <c r="W538">
        <f>HYPERLINK("https://klasma.github.io/Logging_2463/klagomålsmail/A 8655-2024 FSC-klagomål mail.docx", "A 8655-2024")</f>
        <v/>
      </c>
      <c r="X538">
        <f>HYPERLINK("https://klasma.github.io/Logging_2463/tillsyn/A 8655-2024 tillsynsbegäran.docx", "A 8655-2024")</f>
        <v/>
      </c>
      <c r="Y538">
        <f>HYPERLINK("https://klasma.github.io/Logging_2463/tillsynsmail/A 8655-2024 tillsynsbegäran mail.docx", "A 8655-2024")</f>
        <v/>
      </c>
    </row>
    <row r="539" ht="15" customHeight="1">
      <c r="A539" t="inlineStr">
        <is>
          <t>A 8853-2024</t>
        </is>
      </c>
      <c r="B539" s="1" t="n">
        <v>45356</v>
      </c>
      <c r="C539" s="1" t="n">
        <v>45788</v>
      </c>
      <c r="D539" t="inlineStr">
        <is>
          <t>VÄSTERBOTTENS LÄN</t>
        </is>
      </c>
      <c r="E539" t="inlineStr">
        <is>
          <t>DOROTEA</t>
        </is>
      </c>
      <c r="G539" t="n">
        <v>1.9</v>
      </c>
      <c r="H539" t="n">
        <v>1</v>
      </c>
      <c r="I539" t="n">
        <v>2</v>
      </c>
      <c r="J539" t="n">
        <v>2</v>
      </c>
      <c r="K539" t="n">
        <v>0</v>
      </c>
      <c r="L539" t="n">
        <v>0</v>
      </c>
      <c r="M539" t="n">
        <v>0</v>
      </c>
      <c r="N539" t="n">
        <v>0</v>
      </c>
      <c r="O539" t="n">
        <v>2</v>
      </c>
      <c r="P539" t="n">
        <v>0</v>
      </c>
      <c r="Q539" t="n">
        <v>5</v>
      </c>
      <c r="R539" s="2" t="inlineStr">
        <is>
          <t>Garnlav
Vitgrynig nållav
Luddlav
Stuplav
Kungsfågel</t>
        </is>
      </c>
      <c r="S539">
        <f>HYPERLINK("https://klasma.github.io/Logging_2425/artfynd/A 8853-2024 artfynd.xlsx", "A 8853-2024")</f>
        <v/>
      </c>
      <c r="T539">
        <f>HYPERLINK("https://klasma.github.io/Logging_2425/kartor/A 8853-2024 karta.png", "A 8853-2024")</f>
        <v/>
      </c>
      <c r="V539">
        <f>HYPERLINK("https://klasma.github.io/Logging_2425/klagomål/A 8853-2024 FSC-klagomål.docx", "A 8853-2024")</f>
        <v/>
      </c>
      <c r="W539">
        <f>HYPERLINK("https://klasma.github.io/Logging_2425/klagomålsmail/A 8853-2024 FSC-klagomål mail.docx", "A 8853-2024")</f>
        <v/>
      </c>
      <c r="X539">
        <f>HYPERLINK("https://klasma.github.io/Logging_2425/tillsyn/A 8853-2024 tillsynsbegäran.docx", "A 8853-2024")</f>
        <v/>
      </c>
      <c r="Y539">
        <f>HYPERLINK("https://klasma.github.io/Logging_2425/tillsynsmail/A 8853-2024 tillsynsbegäran mail.docx", "A 8853-2024")</f>
        <v/>
      </c>
      <c r="Z539">
        <f>HYPERLINK("https://klasma.github.io/Logging_2425/fåglar/A 8853-2024 prioriterade fågelarter.docx", "A 8853-2024")</f>
        <v/>
      </c>
    </row>
    <row r="540" ht="15" customHeight="1">
      <c r="A540" t="inlineStr">
        <is>
          <t>A 11338-2024</t>
        </is>
      </c>
      <c r="B540" s="1" t="n">
        <v>45372</v>
      </c>
      <c r="C540" s="1" t="n">
        <v>45788</v>
      </c>
      <c r="D540" t="inlineStr">
        <is>
          <t>VÄSTERBOTTENS LÄN</t>
        </is>
      </c>
      <c r="E540" t="inlineStr">
        <is>
          <t>DOROTEA</t>
        </is>
      </c>
      <c r="F540" t="inlineStr">
        <is>
          <t>SCA</t>
        </is>
      </c>
      <c r="G540" t="n">
        <v>15.3</v>
      </c>
      <c r="H540" t="n">
        <v>1</v>
      </c>
      <c r="I540" t="n">
        <v>3</v>
      </c>
      <c r="J540" t="n">
        <v>2</v>
      </c>
      <c r="K540" t="n">
        <v>0</v>
      </c>
      <c r="L540" t="n">
        <v>0</v>
      </c>
      <c r="M540" t="n">
        <v>0</v>
      </c>
      <c r="N540" t="n">
        <v>0</v>
      </c>
      <c r="O540" t="n">
        <v>2</v>
      </c>
      <c r="P540" t="n">
        <v>0</v>
      </c>
      <c r="Q540" t="n">
        <v>5</v>
      </c>
      <c r="R540" s="2" t="inlineStr">
        <is>
          <t>Granticka
Lunglav
Spindelblomster
Stuplav
Tibast</t>
        </is>
      </c>
      <c r="S540">
        <f>HYPERLINK("https://klasma.github.io/Logging_2425/artfynd/A 11338-2024 artfynd.xlsx", "A 11338-2024")</f>
        <v/>
      </c>
      <c r="T540">
        <f>HYPERLINK("https://klasma.github.io/Logging_2425/kartor/A 11338-2024 karta.png", "A 11338-2024")</f>
        <v/>
      </c>
      <c r="V540">
        <f>HYPERLINK("https://klasma.github.io/Logging_2425/klagomål/A 11338-2024 FSC-klagomål.docx", "A 11338-2024")</f>
        <v/>
      </c>
      <c r="W540">
        <f>HYPERLINK("https://klasma.github.io/Logging_2425/klagomålsmail/A 11338-2024 FSC-klagomål mail.docx", "A 11338-2024")</f>
        <v/>
      </c>
      <c r="X540">
        <f>HYPERLINK("https://klasma.github.io/Logging_2425/tillsyn/A 11338-2024 tillsynsbegäran.docx", "A 11338-2024")</f>
        <v/>
      </c>
      <c r="Y540">
        <f>HYPERLINK("https://klasma.github.io/Logging_2425/tillsynsmail/A 11338-2024 tillsynsbegäran mail.docx", "A 11338-2024")</f>
        <v/>
      </c>
    </row>
    <row r="541" ht="15" customHeight="1">
      <c r="A541" t="inlineStr">
        <is>
          <t>A 22575-2024</t>
        </is>
      </c>
      <c r="B541" s="1" t="n">
        <v>45447</v>
      </c>
      <c r="C541" s="1" t="n">
        <v>45788</v>
      </c>
      <c r="D541" t="inlineStr">
        <is>
          <t>VÄSTERBOTTENS LÄN</t>
        </is>
      </c>
      <c r="E541" t="inlineStr">
        <is>
          <t>UMEÅ</t>
        </is>
      </c>
      <c r="F541" t="inlineStr">
        <is>
          <t>Holmen skog AB</t>
        </is>
      </c>
      <c r="G541" t="n">
        <v>10.2</v>
      </c>
      <c r="H541" t="n">
        <v>2</v>
      </c>
      <c r="I541" t="n">
        <v>1</v>
      </c>
      <c r="J541" t="n">
        <v>3</v>
      </c>
      <c r="K541" t="n">
        <v>1</v>
      </c>
      <c r="L541" t="n">
        <v>0</v>
      </c>
      <c r="M541" t="n">
        <v>0</v>
      </c>
      <c r="N541" t="n">
        <v>0</v>
      </c>
      <c r="O541" t="n">
        <v>4</v>
      </c>
      <c r="P541" t="n">
        <v>1</v>
      </c>
      <c r="Q541" t="n">
        <v>5</v>
      </c>
      <c r="R541" s="2" t="inlineStr">
        <is>
          <t>Knärot
Garnlav
Spillkråka
Violettgrå tagellav
Vedticka</t>
        </is>
      </c>
      <c r="S541">
        <f>HYPERLINK("https://klasma.github.io/Logging_2480/artfynd/A 22575-2024 artfynd.xlsx", "A 22575-2024")</f>
        <v/>
      </c>
      <c r="T541">
        <f>HYPERLINK("https://klasma.github.io/Logging_2480/kartor/A 22575-2024 karta.png", "A 22575-2024")</f>
        <v/>
      </c>
      <c r="U541">
        <f>HYPERLINK("https://klasma.github.io/Logging_2480/knärot/A 22575-2024 karta knärot.png", "A 22575-2024")</f>
        <v/>
      </c>
      <c r="V541">
        <f>HYPERLINK("https://klasma.github.io/Logging_2480/klagomål/A 22575-2024 FSC-klagomål.docx", "A 22575-2024")</f>
        <v/>
      </c>
      <c r="W541">
        <f>HYPERLINK("https://klasma.github.io/Logging_2480/klagomålsmail/A 22575-2024 FSC-klagomål mail.docx", "A 22575-2024")</f>
        <v/>
      </c>
      <c r="X541">
        <f>HYPERLINK("https://klasma.github.io/Logging_2480/tillsyn/A 22575-2024 tillsynsbegäran.docx", "A 22575-2024")</f>
        <v/>
      </c>
      <c r="Y541">
        <f>HYPERLINK("https://klasma.github.io/Logging_2480/tillsynsmail/A 22575-2024 tillsynsbegäran mail.docx", "A 22575-2024")</f>
        <v/>
      </c>
      <c r="Z541">
        <f>HYPERLINK("https://klasma.github.io/Logging_2480/fåglar/A 22575-2024 prioriterade fågelarter.docx", "A 22575-2024")</f>
        <v/>
      </c>
    </row>
    <row r="542" ht="15" customHeight="1">
      <c r="A542" t="inlineStr">
        <is>
          <t>A 22947-2024</t>
        </is>
      </c>
      <c r="B542" s="1" t="n">
        <v>45448</v>
      </c>
      <c r="C542" s="1" t="n">
        <v>45788</v>
      </c>
      <c r="D542" t="inlineStr">
        <is>
          <t>VÄSTERBOTTENS LÄN</t>
        </is>
      </c>
      <c r="E542" t="inlineStr">
        <is>
          <t>DOROTEA</t>
        </is>
      </c>
      <c r="F542" t="inlineStr">
        <is>
          <t>SCA</t>
        </is>
      </c>
      <c r="G542" t="n">
        <v>6.7</v>
      </c>
      <c r="H542" t="n">
        <v>0</v>
      </c>
      <c r="I542" t="n">
        <v>1</v>
      </c>
      <c r="J542" t="n">
        <v>4</v>
      </c>
      <c r="K542" t="n">
        <v>0</v>
      </c>
      <c r="L542" t="n">
        <v>0</v>
      </c>
      <c r="M542" t="n">
        <v>0</v>
      </c>
      <c r="N542" t="n">
        <v>0</v>
      </c>
      <c r="O542" t="n">
        <v>4</v>
      </c>
      <c r="P542" t="n">
        <v>0</v>
      </c>
      <c r="Q542" t="n">
        <v>5</v>
      </c>
      <c r="R542" s="2" t="inlineStr">
        <is>
          <t>Doftskinn
Gränsticka
Lunglav
Skrovellav
Stuplav</t>
        </is>
      </c>
      <c r="S542">
        <f>HYPERLINK("https://klasma.github.io/Logging_2425/artfynd/A 22947-2024 artfynd.xlsx", "A 22947-2024")</f>
        <v/>
      </c>
      <c r="T542">
        <f>HYPERLINK("https://klasma.github.io/Logging_2425/kartor/A 22947-2024 karta.png", "A 22947-2024")</f>
        <v/>
      </c>
      <c r="V542">
        <f>HYPERLINK("https://klasma.github.io/Logging_2425/klagomål/A 22947-2024 FSC-klagomål.docx", "A 22947-2024")</f>
        <v/>
      </c>
      <c r="W542">
        <f>HYPERLINK("https://klasma.github.io/Logging_2425/klagomålsmail/A 22947-2024 FSC-klagomål mail.docx", "A 22947-2024")</f>
        <v/>
      </c>
      <c r="X542">
        <f>HYPERLINK("https://klasma.github.io/Logging_2425/tillsyn/A 22947-2024 tillsynsbegäran.docx", "A 22947-2024")</f>
        <v/>
      </c>
      <c r="Y542">
        <f>HYPERLINK("https://klasma.github.io/Logging_2425/tillsynsmail/A 22947-2024 tillsynsbegäran mail.docx", "A 22947-2024")</f>
        <v/>
      </c>
    </row>
    <row r="543" ht="15" customHeight="1">
      <c r="A543" t="inlineStr">
        <is>
          <t>A 27285-2024</t>
        </is>
      </c>
      <c r="B543" s="1" t="n">
        <v>45472</v>
      </c>
      <c r="C543" s="1" t="n">
        <v>45788</v>
      </c>
      <c r="D543" t="inlineStr">
        <is>
          <t>VÄSTERBOTTENS LÄN</t>
        </is>
      </c>
      <c r="E543" t="inlineStr">
        <is>
          <t>SKELLEFTEÅ</t>
        </is>
      </c>
      <c r="G543" t="n">
        <v>5.8</v>
      </c>
      <c r="H543" t="n">
        <v>0</v>
      </c>
      <c r="I543" t="n">
        <v>1</v>
      </c>
      <c r="J543" t="n">
        <v>4</v>
      </c>
      <c r="K543" t="n">
        <v>0</v>
      </c>
      <c r="L543" t="n">
        <v>0</v>
      </c>
      <c r="M543" t="n">
        <v>0</v>
      </c>
      <c r="N543" t="n">
        <v>0</v>
      </c>
      <c r="O543" t="n">
        <v>4</v>
      </c>
      <c r="P543" t="n">
        <v>0</v>
      </c>
      <c r="Q543" t="n">
        <v>5</v>
      </c>
      <c r="R543" s="2" t="inlineStr">
        <is>
          <t>Gammelgransskål
Garnlav
Granticka
Violettgrå tagellav
Dropptaggsvamp</t>
        </is>
      </c>
      <c r="S543">
        <f>HYPERLINK("https://klasma.github.io/Logging_2482/artfynd/A 27285-2024 artfynd.xlsx", "A 27285-2024")</f>
        <v/>
      </c>
      <c r="T543">
        <f>HYPERLINK("https://klasma.github.io/Logging_2482/kartor/A 27285-2024 karta.png", "A 27285-2024")</f>
        <v/>
      </c>
      <c r="V543">
        <f>HYPERLINK("https://klasma.github.io/Logging_2482/klagomål/A 27285-2024 FSC-klagomål.docx", "A 27285-2024")</f>
        <v/>
      </c>
      <c r="W543">
        <f>HYPERLINK("https://klasma.github.io/Logging_2482/klagomålsmail/A 27285-2024 FSC-klagomål mail.docx", "A 27285-2024")</f>
        <v/>
      </c>
      <c r="X543">
        <f>HYPERLINK("https://klasma.github.io/Logging_2482/tillsyn/A 27285-2024 tillsynsbegäran.docx", "A 27285-2024")</f>
        <v/>
      </c>
      <c r="Y543">
        <f>HYPERLINK("https://klasma.github.io/Logging_2482/tillsynsmail/A 27285-2024 tillsynsbegäran mail.docx", "A 27285-2024")</f>
        <v/>
      </c>
    </row>
    <row r="544" ht="15" customHeight="1">
      <c r="A544" t="inlineStr">
        <is>
          <t>A 31524-2024</t>
        </is>
      </c>
      <c r="B544" s="1" t="n">
        <v>45505</v>
      </c>
      <c r="C544" s="1" t="n">
        <v>45788</v>
      </c>
      <c r="D544" t="inlineStr">
        <is>
          <t>VÄSTERBOTTENS LÄN</t>
        </is>
      </c>
      <c r="E544" t="inlineStr">
        <is>
          <t>VINDELN</t>
        </is>
      </c>
      <c r="F544" t="inlineStr">
        <is>
          <t>SCA</t>
        </is>
      </c>
      <c r="G544" t="n">
        <v>2.6</v>
      </c>
      <c r="H544" t="n">
        <v>0</v>
      </c>
      <c r="I544" t="n">
        <v>3</v>
      </c>
      <c r="J544" t="n">
        <v>2</v>
      </c>
      <c r="K544" t="n">
        <v>0</v>
      </c>
      <c r="L544" t="n">
        <v>0</v>
      </c>
      <c r="M544" t="n">
        <v>0</v>
      </c>
      <c r="N544" t="n">
        <v>0</v>
      </c>
      <c r="O544" t="n">
        <v>2</v>
      </c>
      <c r="P544" t="n">
        <v>0</v>
      </c>
      <c r="Q544" t="n">
        <v>5</v>
      </c>
      <c r="R544" s="2" t="inlineStr">
        <is>
          <t>Garnlav
Ullticka
Norrlandslav
Skinnlav
Stuplav</t>
        </is>
      </c>
      <c r="S544">
        <f>HYPERLINK("https://klasma.github.io/Logging_2404/artfynd/A 31524-2024 artfynd.xlsx", "A 31524-2024")</f>
        <v/>
      </c>
      <c r="T544">
        <f>HYPERLINK("https://klasma.github.io/Logging_2404/kartor/A 31524-2024 karta.png", "A 31524-2024")</f>
        <v/>
      </c>
      <c r="V544">
        <f>HYPERLINK("https://klasma.github.io/Logging_2404/klagomål/A 31524-2024 FSC-klagomål.docx", "A 31524-2024")</f>
        <v/>
      </c>
      <c r="W544">
        <f>HYPERLINK("https://klasma.github.io/Logging_2404/klagomålsmail/A 31524-2024 FSC-klagomål mail.docx", "A 31524-2024")</f>
        <v/>
      </c>
      <c r="X544">
        <f>HYPERLINK("https://klasma.github.io/Logging_2404/tillsyn/A 31524-2024 tillsynsbegäran.docx", "A 31524-2024")</f>
        <v/>
      </c>
      <c r="Y544">
        <f>HYPERLINK("https://klasma.github.io/Logging_2404/tillsynsmail/A 31524-2024 tillsynsbegäran mail.docx", "A 31524-2024")</f>
        <v/>
      </c>
    </row>
    <row r="545" ht="15" customHeight="1">
      <c r="A545" t="inlineStr">
        <is>
          <t>A 32238-2024</t>
        </is>
      </c>
      <c r="B545" s="1" t="n">
        <v>45512</v>
      </c>
      <c r="C545" s="1" t="n">
        <v>45788</v>
      </c>
      <c r="D545" t="inlineStr">
        <is>
          <t>VÄSTERBOTTENS LÄN</t>
        </is>
      </c>
      <c r="E545" t="inlineStr">
        <is>
          <t>NORSJÖ</t>
        </is>
      </c>
      <c r="G545" t="n">
        <v>13.4</v>
      </c>
      <c r="H545" t="n">
        <v>1</v>
      </c>
      <c r="I545" t="n">
        <v>2</v>
      </c>
      <c r="J545" t="n">
        <v>3</v>
      </c>
      <c r="K545" t="n">
        <v>0</v>
      </c>
      <c r="L545" t="n">
        <v>0</v>
      </c>
      <c r="M545" t="n">
        <v>0</v>
      </c>
      <c r="N545" t="n">
        <v>0</v>
      </c>
      <c r="O545" t="n">
        <v>3</v>
      </c>
      <c r="P545" t="n">
        <v>0</v>
      </c>
      <c r="Q545" t="n">
        <v>5</v>
      </c>
      <c r="R545" s="2" t="inlineStr">
        <is>
          <t>Blå taggsvamp
Orange taggsvamp
Tallriska
Plattlummer
Skarp dropptaggsvamp</t>
        </is>
      </c>
      <c r="S545">
        <f>HYPERLINK("https://klasma.github.io/Logging_2417/artfynd/A 32238-2024 artfynd.xlsx", "A 32238-2024")</f>
        <v/>
      </c>
      <c r="T545">
        <f>HYPERLINK("https://klasma.github.io/Logging_2417/kartor/A 32238-2024 karta.png", "A 32238-2024")</f>
        <v/>
      </c>
      <c r="V545">
        <f>HYPERLINK("https://klasma.github.io/Logging_2417/klagomål/A 32238-2024 FSC-klagomål.docx", "A 32238-2024")</f>
        <v/>
      </c>
      <c r="W545">
        <f>HYPERLINK("https://klasma.github.io/Logging_2417/klagomålsmail/A 32238-2024 FSC-klagomål mail.docx", "A 32238-2024")</f>
        <v/>
      </c>
      <c r="X545">
        <f>HYPERLINK("https://klasma.github.io/Logging_2417/tillsyn/A 32238-2024 tillsynsbegäran.docx", "A 32238-2024")</f>
        <v/>
      </c>
      <c r="Y545">
        <f>HYPERLINK("https://klasma.github.io/Logging_2417/tillsynsmail/A 32238-2024 tillsynsbegäran mail.docx", "A 32238-2024")</f>
        <v/>
      </c>
    </row>
    <row r="546" ht="15" customHeight="1">
      <c r="A546" t="inlineStr">
        <is>
          <t>A 32237-2024</t>
        </is>
      </c>
      <c r="B546" s="1" t="n">
        <v>45512</v>
      </c>
      <c r="C546" s="1" t="n">
        <v>45788</v>
      </c>
      <c r="D546" t="inlineStr">
        <is>
          <t>VÄSTERBOTTENS LÄN</t>
        </is>
      </c>
      <c r="E546" t="inlineStr">
        <is>
          <t>NORSJÖ</t>
        </is>
      </c>
      <c r="G546" t="n">
        <v>10</v>
      </c>
      <c r="H546" t="n">
        <v>0</v>
      </c>
      <c r="I546" t="n">
        <v>1</v>
      </c>
      <c r="J546" t="n">
        <v>3</v>
      </c>
      <c r="K546" t="n">
        <v>1</v>
      </c>
      <c r="L546" t="n">
        <v>0</v>
      </c>
      <c r="M546" t="n">
        <v>0</v>
      </c>
      <c r="N546" t="n">
        <v>0</v>
      </c>
      <c r="O546" t="n">
        <v>4</v>
      </c>
      <c r="P546" t="n">
        <v>1</v>
      </c>
      <c r="Q546" t="n">
        <v>5</v>
      </c>
      <c r="R546" s="2" t="inlineStr">
        <is>
          <t>Torrmusseron
Blå taggsvamp
Motaggsvamp
Skrovlig taggsvamp
Dropptaggsvamp</t>
        </is>
      </c>
      <c r="S546">
        <f>HYPERLINK("https://klasma.github.io/Logging_2417/artfynd/A 32237-2024 artfynd.xlsx", "A 32237-2024")</f>
        <v/>
      </c>
      <c r="T546">
        <f>HYPERLINK("https://klasma.github.io/Logging_2417/kartor/A 32237-2024 karta.png", "A 32237-2024")</f>
        <v/>
      </c>
      <c r="V546">
        <f>HYPERLINK("https://klasma.github.io/Logging_2417/klagomål/A 32237-2024 FSC-klagomål.docx", "A 32237-2024")</f>
        <v/>
      </c>
      <c r="W546">
        <f>HYPERLINK("https://klasma.github.io/Logging_2417/klagomålsmail/A 32237-2024 FSC-klagomål mail.docx", "A 32237-2024")</f>
        <v/>
      </c>
      <c r="X546">
        <f>HYPERLINK("https://klasma.github.io/Logging_2417/tillsyn/A 32237-2024 tillsynsbegäran.docx", "A 32237-2024")</f>
        <v/>
      </c>
      <c r="Y546">
        <f>HYPERLINK("https://klasma.github.io/Logging_2417/tillsynsmail/A 32237-2024 tillsynsbegäran mail.docx", "A 32237-2024")</f>
        <v/>
      </c>
    </row>
    <row r="547" ht="15" customHeight="1">
      <c r="A547" t="inlineStr">
        <is>
          <t>A 33941-2024</t>
        </is>
      </c>
      <c r="B547" s="1" t="n">
        <v>45523</v>
      </c>
      <c r="C547" s="1" t="n">
        <v>45788</v>
      </c>
      <c r="D547" t="inlineStr">
        <is>
          <t>VÄSTERBOTTENS LÄN</t>
        </is>
      </c>
      <c r="E547" t="inlineStr">
        <is>
          <t>SKELLEFTEÅ</t>
        </is>
      </c>
      <c r="F547" t="inlineStr">
        <is>
          <t>Holmen skog AB</t>
        </is>
      </c>
      <c r="G547" t="n">
        <v>8.1</v>
      </c>
      <c r="H547" t="n">
        <v>3</v>
      </c>
      <c r="I547" t="n">
        <v>0</v>
      </c>
      <c r="J547" t="n">
        <v>4</v>
      </c>
      <c r="K547" t="n">
        <v>0</v>
      </c>
      <c r="L547" t="n">
        <v>0</v>
      </c>
      <c r="M547" t="n">
        <v>0</v>
      </c>
      <c r="N547" t="n">
        <v>0</v>
      </c>
      <c r="O547" t="n">
        <v>4</v>
      </c>
      <c r="P547" t="n">
        <v>0</v>
      </c>
      <c r="Q547" t="n">
        <v>5</v>
      </c>
      <c r="R547" s="2" t="inlineStr">
        <is>
          <t>Garnlav
Granticka
Talltita
Tretåig hackspett
Revlummer</t>
        </is>
      </c>
      <c r="S547">
        <f>HYPERLINK("https://klasma.github.io/Logging_2482/artfynd/A 33941-2024 artfynd.xlsx", "A 33941-2024")</f>
        <v/>
      </c>
      <c r="T547">
        <f>HYPERLINK("https://klasma.github.io/Logging_2482/kartor/A 33941-2024 karta.png", "A 33941-2024")</f>
        <v/>
      </c>
      <c r="V547">
        <f>HYPERLINK("https://klasma.github.io/Logging_2482/klagomål/A 33941-2024 FSC-klagomål.docx", "A 33941-2024")</f>
        <v/>
      </c>
      <c r="W547">
        <f>HYPERLINK("https://klasma.github.io/Logging_2482/klagomålsmail/A 33941-2024 FSC-klagomål mail.docx", "A 33941-2024")</f>
        <v/>
      </c>
      <c r="X547">
        <f>HYPERLINK("https://klasma.github.io/Logging_2482/tillsyn/A 33941-2024 tillsynsbegäran.docx", "A 33941-2024")</f>
        <v/>
      </c>
      <c r="Y547">
        <f>HYPERLINK("https://klasma.github.io/Logging_2482/tillsynsmail/A 33941-2024 tillsynsbegäran mail.docx", "A 33941-2024")</f>
        <v/>
      </c>
      <c r="Z547">
        <f>HYPERLINK("https://klasma.github.io/Logging_2482/fåglar/A 33941-2024 prioriterade fågelarter.docx", "A 33941-2024")</f>
        <v/>
      </c>
    </row>
    <row r="548" ht="15" customHeight="1">
      <c r="A548" t="inlineStr">
        <is>
          <t>A 34043-2024</t>
        </is>
      </c>
      <c r="B548" s="1" t="n">
        <v>45523</v>
      </c>
      <c r="C548" s="1" t="n">
        <v>45788</v>
      </c>
      <c r="D548" t="inlineStr">
        <is>
          <t>VÄSTERBOTTENS LÄN</t>
        </is>
      </c>
      <c r="E548" t="inlineStr">
        <is>
          <t>NORSJÖ</t>
        </is>
      </c>
      <c r="F548" t="inlineStr">
        <is>
          <t>Sveaskog</t>
        </is>
      </c>
      <c r="G548" t="n">
        <v>13.6</v>
      </c>
      <c r="H548" t="n">
        <v>2</v>
      </c>
      <c r="I548" t="n">
        <v>2</v>
      </c>
      <c r="J548" t="n">
        <v>1</v>
      </c>
      <c r="K548" t="n">
        <v>1</v>
      </c>
      <c r="L548" t="n">
        <v>0</v>
      </c>
      <c r="M548" t="n">
        <v>0</v>
      </c>
      <c r="N548" t="n">
        <v>0</v>
      </c>
      <c r="O548" t="n">
        <v>2</v>
      </c>
      <c r="P548" t="n">
        <v>1</v>
      </c>
      <c r="Q548" t="n">
        <v>5</v>
      </c>
      <c r="R548" s="2" t="inlineStr">
        <is>
          <t>Goliatmusseron
Blå taggsvamp
Dropptaggsvamp
Plattlummer
Revlummer</t>
        </is>
      </c>
      <c r="S548">
        <f>HYPERLINK("https://klasma.github.io/Logging_2417/artfynd/A 34043-2024 artfynd.xlsx", "A 34043-2024")</f>
        <v/>
      </c>
      <c r="T548">
        <f>HYPERLINK("https://klasma.github.io/Logging_2417/kartor/A 34043-2024 karta.png", "A 34043-2024")</f>
        <v/>
      </c>
      <c r="V548">
        <f>HYPERLINK("https://klasma.github.io/Logging_2417/klagomål/A 34043-2024 FSC-klagomål.docx", "A 34043-2024")</f>
        <v/>
      </c>
      <c r="W548">
        <f>HYPERLINK("https://klasma.github.io/Logging_2417/klagomålsmail/A 34043-2024 FSC-klagomål mail.docx", "A 34043-2024")</f>
        <v/>
      </c>
      <c r="X548">
        <f>HYPERLINK("https://klasma.github.io/Logging_2417/tillsyn/A 34043-2024 tillsynsbegäran.docx", "A 34043-2024")</f>
        <v/>
      </c>
      <c r="Y548">
        <f>HYPERLINK("https://klasma.github.io/Logging_2417/tillsynsmail/A 34043-2024 tillsynsbegäran mail.docx", "A 34043-2024")</f>
        <v/>
      </c>
    </row>
    <row r="549" ht="15" customHeight="1">
      <c r="A549" t="inlineStr">
        <is>
          <t>A 36313-2024</t>
        </is>
      </c>
      <c r="B549" s="1" t="n">
        <v>45534</v>
      </c>
      <c r="C549" s="1" t="n">
        <v>45788</v>
      </c>
      <c r="D549" t="inlineStr">
        <is>
          <t>VÄSTERBOTTENS LÄN</t>
        </is>
      </c>
      <c r="E549" t="inlineStr">
        <is>
          <t>NORSJÖ</t>
        </is>
      </c>
      <c r="G549" t="n">
        <v>4.7</v>
      </c>
      <c r="H549" t="n">
        <v>0</v>
      </c>
      <c r="I549" t="n">
        <v>1</v>
      </c>
      <c r="J549" t="n">
        <v>4</v>
      </c>
      <c r="K549" t="n">
        <v>0</v>
      </c>
      <c r="L549" t="n">
        <v>0</v>
      </c>
      <c r="M549" t="n">
        <v>0</v>
      </c>
      <c r="N549" t="n">
        <v>0</v>
      </c>
      <c r="O549" t="n">
        <v>4</v>
      </c>
      <c r="P549" t="n">
        <v>0</v>
      </c>
      <c r="Q549" t="n">
        <v>5</v>
      </c>
      <c r="R549" s="2" t="inlineStr">
        <is>
          <t>Blå taggsvamp
Motaggsvamp
Orange taggsvamp
Talltaggsvamp
Skarp dropptaggsvamp</t>
        </is>
      </c>
      <c r="S549">
        <f>HYPERLINK("https://klasma.github.io/Logging_2417/artfynd/A 36313-2024 artfynd.xlsx", "A 36313-2024")</f>
        <v/>
      </c>
      <c r="T549">
        <f>HYPERLINK("https://klasma.github.io/Logging_2417/kartor/A 36313-2024 karta.png", "A 36313-2024")</f>
        <v/>
      </c>
      <c r="V549">
        <f>HYPERLINK("https://klasma.github.io/Logging_2417/klagomål/A 36313-2024 FSC-klagomål.docx", "A 36313-2024")</f>
        <v/>
      </c>
      <c r="W549">
        <f>HYPERLINK("https://klasma.github.io/Logging_2417/klagomålsmail/A 36313-2024 FSC-klagomål mail.docx", "A 36313-2024")</f>
        <v/>
      </c>
      <c r="X549">
        <f>HYPERLINK("https://klasma.github.io/Logging_2417/tillsyn/A 36313-2024 tillsynsbegäran.docx", "A 36313-2024")</f>
        <v/>
      </c>
      <c r="Y549">
        <f>HYPERLINK("https://klasma.github.io/Logging_2417/tillsynsmail/A 36313-2024 tillsynsbegäran mail.docx", "A 36313-2024")</f>
        <v/>
      </c>
    </row>
    <row r="550" ht="15" customHeight="1">
      <c r="A550" t="inlineStr">
        <is>
          <t>A 39692-2024</t>
        </is>
      </c>
      <c r="B550" s="1" t="n">
        <v>45552</v>
      </c>
      <c r="C550" s="1" t="n">
        <v>45788</v>
      </c>
      <c r="D550" t="inlineStr">
        <is>
          <t>VÄSTERBOTTENS LÄN</t>
        </is>
      </c>
      <c r="E550" t="inlineStr">
        <is>
          <t>MALÅ</t>
        </is>
      </c>
      <c r="F550" t="inlineStr">
        <is>
          <t>Sveaskog</t>
        </is>
      </c>
      <c r="G550" t="n">
        <v>15.8</v>
      </c>
      <c r="H550" t="n">
        <v>1</v>
      </c>
      <c r="I550" t="n">
        <v>2</v>
      </c>
      <c r="J550" t="n">
        <v>3</v>
      </c>
      <c r="K550" t="n">
        <v>0</v>
      </c>
      <c r="L550" t="n">
        <v>0</v>
      </c>
      <c r="M550" t="n">
        <v>0</v>
      </c>
      <c r="N550" t="n">
        <v>0</v>
      </c>
      <c r="O550" t="n">
        <v>3</v>
      </c>
      <c r="P550" t="n">
        <v>0</v>
      </c>
      <c r="Q550" t="n">
        <v>5</v>
      </c>
      <c r="R550" s="2" t="inlineStr">
        <is>
          <t>Blå taggsvamp
Orange taggsvamp
Svart taggsvamp
Plattlummer
Skarp dropptaggsvamp</t>
        </is>
      </c>
      <c r="S550">
        <f>HYPERLINK("https://klasma.github.io/Logging_2418/artfynd/A 39692-2024 artfynd.xlsx", "A 39692-2024")</f>
        <v/>
      </c>
      <c r="T550">
        <f>HYPERLINK("https://klasma.github.io/Logging_2418/kartor/A 39692-2024 karta.png", "A 39692-2024")</f>
        <v/>
      </c>
      <c r="V550">
        <f>HYPERLINK("https://klasma.github.io/Logging_2418/klagomål/A 39692-2024 FSC-klagomål.docx", "A 39692-2024")</f>
        <v/>
      </c>
      <c r="W550">
        <f>HYPERLINK("https://klasma.github.io/Logging_2418/klagomålsmail/A 39692-2024 FSC-klagomål mail.docx", "A 39692-2024")</f>
        <v/>
      </c>
      <c r="X550">
        <f>HYPERLINK("https://klasma.github.io/Logging_2418/tillsyn/A 39692-2024 tillsynsbegäran.docx", "A 39692-2024")</f>
        <v/>
      </c>
      <c r="Y550">
        <f>HYPERLINK("https://klasma.github.io/Logging_2418/tillsynsmail/A 39692-2024 tillsynsbegäran mail.docx", "A 39692-2024")</f>
        <v/>
      </c>
    </row>
    <row r="551" ht="15" customHeight="1">
      <c r="A551" t="inlineStr">
        <is>
          <t>A 41338-2024</t>
        </is>
      </c>
      <c r="B551" s="1" t="n">
        <v>45559</v>
      </c>
      <c r="C551" s="1" t="n">
        <v>45788</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41338-2024 artfynd.xlsx", "A 41338-2024")</f>
        <v/>
      </c>
      <c r="T551">
        <f>HYPERLINK("https://klasma.github.io/Logging_2418/kartor/A 41338-2024 karta.png", "A 41338-2024")</f>
        <v/>
      </c>
      <c r="V551">
        <f>HYPERLINK("https://klasma.github.io/Logging_2418/klagomål/A 41338-2024 FSC-klagomål.docx", "A 41338-2024")</f>
        <v/>
      </c>
      <c r="W551">
        <f>HYPERLINK("https://klasma.github.io/Logging_2418/klagomålsmail/A 41338-2024 FSC-klagomål mail.docx", "A 41338-2024")</f>
        <v/>
      </c>
      <c r="X551">
        <f>HYPERLINK("https://klasma.github.io/Logging_2418/tillsyn/A 41338-2024 tillsynsbegäran.docx", "A 41338-2024")</f>
        <v/>
      </c>
      <c r="Y551">
        <f>HYPERLINK("https://klasma.github.io/Logging_2418/tillsynsmail/A 41338-2024 tillsynsbegäran mail.docx", "A 41338-2024")</f>
        <v/>
      </c>
    </row>
    <row r="552" ht="15" customHeight="1">
      <c r="A552" t="inlineStr">
        <is>
          <t>A 42363-2024</t>
        </is>
      </c>
      <c r="B552" s="1" t="n">
        <v>45563</v>
      </c>
      <c r="C552" s="1" t="n">
        <v>45788</v>
      </c>
      <c r="D552" t="inlineStr">
        <is>
          <t>VÄSTERBOTTENS LÄN</t>
        </is>
      </c>
      <c r="E552" t="inlineStr">
        <is>
          <t>ROBERTSFORS</t>
        </is>
      </c>
      <c r="G552" t="n">
        <v>20.3</v>
      </c>
      <c r="H552" t="n">
        <v>0</v>
      </c>
      <c r="I552" t="n">
        <v>3</v>
      </c>
      <c r="J552" t="n">
        <v>2</v>
      </c>
      <c r="K552" t="n">
        <v>0</v>
      </c>
      <c r="L552" t="n">
        <v>0</v>
      </c>
      <c r="M552" t="n">
        <v>0</v>
      </c>
      <c r="N552" t="n">
        <v>0</v>
      </c>
      <c r="O552" t="n">
        <v>2</v>
      </c>
      <c r="P552" t="n">
        <v>0</v>
      </c>
      <c r="Q552" t="n">
        <v>5</v>
      </c>
      <c r="R552" s="2" t="inlineStr">
        <is>
          <t>Motaggsvamp
Svart taggsvamp
Dropptaggsvamp
Trådticka
Vedticka</t>
        </is>
      </c>
      <c r="S552">
        <f>HYPERLINK("https://klasma.github.io/Logging_2409/artfynd/A 42363-2024 artfynd.xlsx", "A 42363-2024")</f>
        <v/>
      </c>
      <c r="T552">
        <f>HYPERLINK("https://klasma.github.io/Logging_2409/kartor/A 42363-2024 karta.png", "A 42363-2024")</f>
        <v/>
      </c>
      <c r="V552">
        <f>HYPERLINK("https://klasma.github.io/Logging_2409/klagomål/A 42363-2024 FSC-klagomål.docx", "A 42363-2024")</f>
        <v/>
      </c>
      <c r="W552">
        <f>HYPERLINK("https://klasma.github.io/Logging_2409/klagomålsmail/A 42363-2024 FSC-klagomål mail.docx", "A 42363-2024")</f>
        <v/>
      </c>
      <c r="X552">
        <f>HYPERLINK("https://klasma.github.io/Logging_2409/tillsyn/A 42363-2024 tillsynsbegäran.docx", "A 42363-2024")</f>
        <v/>
      </c>
      <c r="Y552">
        <f>HYPERLINK("https://klasma.github.io/Logging_2409/tillsynsmail/A 42363-2024 tillsynsbegäran mail.docx", "A 42363-2024")</f>
        <v/>
      </c>
    </row>
    <row r="553" ht="15" customHeight="1">
      <c r="A553" t="inlineStr">
        <is>
          <t>A 47882-2024</t>
        </is>
      </c>
      <c r="B553" s="1" t="n">
        <v>45588</v>
      </c>
      <c r="C553" s="1" t="n">
        <v>45788</v>
      </c>
      <c r="D553" t="inlineStr">
        <is>
          <t>VÄSTERBOTTENS LÄN</t>
        </is>
      </c>
      <c r="E553" t="inlineStr">
        <is>
          <t>UMEÅ</t>
        </is>
      </c>
      <c r="F553" t="inlineStr">
        <is>
          <t>Sveaskog</t>
        </is>
      </c>
      <c r="G553" t="n">
        <v>33.9</v>
      </c>
      <c r="H553" t="n">
        <v>2</v>
      </c>
      <c r="I553" t="n">
        <v>1</v>
      </c>
      <c r="J553" t="n">
        <v>4</v>
      </c>
      <c r="K553" t="n">
        <v>0</v>
      </c>
      <c r="L553" t="n">
        <v>0</v>
      </c>
      <c r="M553" t="n">
        <v>0</v>
      </c>
      <c r="N553" t="n">
        <v>0</v>
      </c>
      <c r="O553" t="n">
        <v>4</v>
      </c>
      <c r="P553" t="n">
        <v>0</v>
      </c>
      <c r="Q553" t="n">
        <v>5</v>
      </c>
      <c r="R553" s="2" t="inlineStr">
        <is>
          <t>Garnlav
Granticka
Spillkråka
Tretåig hackspett
Dropptaggsvamp</t>
        </is>
      </c>
      <c r="S553">
        <f>HYPERLINK("https://klasma.github.io/Logging_2480/artfynd/A 47882-2024 artfynd.xlsx", "A 47882-2024")</f>
        <v/>
      </c>
      <c r="T553">
        <f>HYPERLINK("https://klasma.github.io/Logging_2480/kartor/A 47882-2024 karta.png", "A 47882-2024")</f>
        <v/>
      </c>
      <c r="V553">
        <f>HYPERLINK("https://klasma.github.io/Logging_2480/klagomål/A 47882-2024 FSC-klagomål.docx", "A 47882-2024")</f>
        <v/>
      </c>
      <c r="W553">
        <f>HYPERLINK("https://klasma.github.io/Logging_2480/klagomålsmail/A 47882-2024 FSC-klagomål mail.docx", "A 47882-2024")</f>
        <v/>
      </c>
      <c r="X553">
        <f>HYPERLINK("https://klasma.github.io/Logging_2480/tillsyn/A 47882-2024 tillsynsbegäran.docx", "A 47882-2024")</f>
        <v/>
      </c>
      <c r="Y553">
        <f>HYPERLINK("https://klasma.github.io/Logging_2480/tillsynsmail/A 47882-2024 tillsynsbegäran mail.docx", "A 47882-2024")</f>
        <v/>
      </c>
      <c r="Z553">
        <f>HYPERLINK("https://klasma.github.io/Logging_2480/fåglar/A 47882-2024 prioriterade fågelarter.docx", "A 47882-2024")</f>
        <v/>
      </c>
    </row>
    <row r="554" ht="15" customHeight="1">
      <c r="A554" t="inlineStr">
        <is>
          <t>A 54340-2024</t>
        </is>
      </c>
      <c r="B554" s="1" t="n">
        <v>45617</v>
      </c>
      <c r="C554" s="1" t="n">
        <v>45788</v>
      </c>
      <c r="D554" t="inlineStr">
        <is>
          <t>VÄSTERBOTTENS LÄN</t>
        </is>
      </c>
      <c r="E554" t="inlineStr">
        <is>
          <t>ÅSELE</t>
        </is>
      </c>
      <c r="F554" t="inlineStr">
        <is>
          <t>SCA</t>
        </is>
      </c>
      <c r="G554" t="n">
        <v>15.4</v>
      </c>
      <c r="H554" t="n">
        <v>0</v>
      </c>
      <c r="I554" t="n">
        <v>0</v>
      </c>
      <c r="J554" t="n">
        <v>5</v>
      </c>
      <c r="K554" t="n">
        <v>0</v>
      </c>
      <c r="L554" t="n">
        <v>0</v>
      </c>
      <c r="M554" t="n">
        <v>0</v>
      </c>
      <c r="N554" t="n">
        <v>0</v>
      </c>
      <c r="O554" t="n">
        <v>5</v>
      </c>
      <c r="P554" t="n">
        <v>0</v>
      </c>
      <c r="Q554" t="n">
        <v>5</v>
      </c>
      <c r="R554" s="2" t="inlineStr">
        <is>
          <t>Gammelgransskål
Garnlav
Granticka
Ullticka
Vitgrynig nållav</t>
        </is>
      </c>
      <c r="S554">
        <f>HYPERLINK("https://klasma.github.io/Logging_2463/artfynd/A 54340-2024 artfynd.xlsx", "A 54340-2024")</f>
        <v/>
      </c>
      <c r="T554">
        <f>HYPERLINK("https://klasma.github.io/Logging_2463/kartor/A 54340-2024 karta.png", "A 54340-2024")</f>
        <v/>
      </c>
      <c r="V554">
        <f>HYPERLINK("https://klasma.github.io/Logging_2463/klagomål/A 54340-2024 FSC-klagomål.docx", "A 54340-2024")</f>
        <v/>
      </c>
      <c r="W554">
        <f>HYPERLINK("https://klasma.github.io/Logging_2463/klagomålsmail/A 54340-2024 FSC-klagomål mail.docx", "A 54340-2024")</f>
        <v/>
      </c>
      <c r="X554">
        <f>HYPERLINK("https://klasma.github.io/Logging_2463/tillsyn/A 54340-2024 tillsynsbegäran.docx", "A 54340-2024")</f>
        <v/>
      </c>
      <c r="Y554">
        <f>HYPERLINK("https://klasma.github.io/Logging_2463/tillsynsmail/A 54340-2024 tillsynsbegäran mail.docx", "A 54340-2024")</f>
        <v/>
      </c>
    </row>
    <row r="555" ht="15" customHeight="1">
      <c r="A555" t="inlineStr">
        <is>
          <t>A 55409-2024</t>
        </is>
      </c>
      <c r="B555" s="1" t="n">
        <v>45622</v>
      </c>
      <c r="C555" s="1" t="n">
        <v>45788</v>
      </c>
      <c r="D555" t="inlineStr">
        <is>
          <t>VÄSTERBOTTENS LÄN</t>
        </is>
      </c>
      <c r="E555" t="inlineStr">
        <is>
          <t>VINDELN</t>
        </is>
      </c>
      <c r="F555" t="inlineStr">
        <is>
          <t>Sveaskog</t>
        </is>
      </c>
      <c r="G555" t="n">
        <v>12.4</v>
      </c>
      <c r="H555" t="n">
        <v>0</v>
      </c>
      <c r="I555" t="n">
        <v>0</v>
      </c>
      <c r="J555" t="n">
        <v>4</v>
      </c>
      <c r="K555" t="n">
        <v>1</v>
      </c>
      <c r="L555" t="n">
        <v>0</v>
      </c>
      <c r="M555" t="n">
        <v>0</v>
      </c>
      <c r="N555" t="n">
        <v>0</v>
      </c>
      <c r="O555" t="n">
        <v>5</v>
      </c>
      <c r="P555" t="n">
        <v>1</v>
      </c>
      <c r="Q555" t="n">
        <v>5</v>
      </c>
      <c r="R555" s="2" t="inlineStr">
        <is>
          <t>Smalfotad taggsvamp
Blå taggsvamp
Lunglav
Vaddporing
Violettgrå tagellav</t>
        </is>
      </c>
      <c r="S555">
        <f>HYPERLINK("https://klasma.github.io/Logging_2404/artfynd/A 55409-2024 artfynd.xlsx", "A 55409-2024")</f>
        <v/>
      </c>
      <c r="T555">
        <f>HYPERLINK("https://klasma.github.io/Logging_2404/kartor/A 55409-2024 karta.png", "A 55409-2024")</f>
        <v/>
      </c>
      <c r="V555">
        <f>HYPERLINK("https://klasma.github.io/Logging_2404/klagomål/A 55409-2024 FSC-klagomål.docx", "A 55409-2024")</f>
        <v/>
      </c>
      <c r="W555">
        <f>HYPERLINK("https://klasma.github.io/Logging_2404/klagomålsmail/A 55409-2024 FSC-klagomål mail.docx", "A 55409-2024")</f>
        <v/>
      </c>
      <c r="X555">
        <f>HYPERLINK("https://klasma.github.io/Logging_2404/tillsyn/A 55409-2024 tillsynsbegäran.docx", "A 55409-2024")</f>
        <v/>
      </c>
      <c r="Y555">
        <f>HYPERLINK("https://klasma.github.io/Logging_2404/tillsynsmail/A 55409-2024 tillsynsbegäran mail.docx", "A 55409-2024")</f>
        <v/>
      </c>
    </row>
    <row r="556" ht="15" customHeight="1">
      <c r="A556" t="inlineStr">
        <is>
          <t>A 56000-2024</t>
        </is>
      </c>
      <c r="B556" s="1" t="n">
        <v>45623</v>
      </c>
      <c r="C556" s="1" t="n">
        <v>45788</v>
      </c>
      <c r="D556" t="inlineStr">
        <is>
          <t>VÄSTERBOTTENS LÄN</t>
        </is>
      </c>
      <c r="E556" t="inlineStr">
        <is>
          <t>LYCKSELE</t>
        </is>
      </c>
      <c r="G556" t="n">
        <v>1.4</v>
      </c>
      <c r="H556" t="n">
        <v>1</v>
      </c>
      <c r="I556" t="n">
        <v>2</v>
      </c>
      <c r="J556" t="n">
        <v>2</v>
      </c>
      <c r="K556" t="n">
        <v>0</v>
      </c>
      <c r="L556" t="n">
        <v>0</v>
      </c>
      <c r="M556" t="n">
        <v>0</v>
      </c>
      <c r="N556" t="n">
        <v>0</v>
      </c>
      <c r="O556" t="n">
        <v>2</v>
      </c>
      <c r="P556" t="n">
        <v>0</v>
      </c>
      <c r="Q556" t="n">
        <v>5</v>
      </c>
      <c r="R556" s="2" t="inlineStr">
        <is>
          <t>Garnlav
Rosenticka
Dropptaggsvamp
Norrlandslav
Tjäder</t>
        </is>
      </c>
      <c r="S556">
        <f>HYPERLINK("https://klasma.github.io/Logging_2481/artfynd/A 56000-2024 artfynd.xlsx", "A 56000-2024")</f>
        <v/>
      </c>
      <c r="T556">
        <f>HYPERLINK("https://klasma.github.io/Logging_2481/kartor/A 56000-2024 karta.png", "A 56000-2024")</f>
        <v/>
      </c>
      <c r="V556">
        <f>HYPERLINK("https://klasma.github.io/Logging_2481/klagomål/A 56000-2024 FSC-klagomål.docx", "A 56000-2024")</f>
        <v/>
      </c>
      <c r="W556">
        <f>HYPERLINK("https://klasma.github.io/Logging_2481/klagomålsmail/A 56000-2024 FSC-klagomål mail.docx", "A 56000-2024")</f>
        <v/>
      </c>
      <c r="X556">
        <f>HYPERLINK("https://klasma.github.io/Logging_2481/tillsyn/A 56000-2024 tillsynsbegäran.docx", "A 56000-2024")</f>
        <v/>
      </c>
      <c r="Y556">
        <f>HYPERLINK("https://klasma.github.io/Logging_2481/tillsynsmail/A 56000-2024 tillsynsbegäran mail.docx", "A 56000-2024")</f>
        <v/>
      </c>
      <c r="Z556">
        <f>HYPERLINK("https://klasma.github.io/Logging_2481/fåglar/A 56000-2024 prioriterade fågelarter.docx", "A 56000-2024")</f>
        <v/>
      </c>
    </row>
    <row r="557" ht="15" customHeight="1">
      <c r="A557" t="inlineStr">
        <is>
          <t>A 56053-2024</t>
        </is>
      </c>
      <c r="B557" s="1" t="n">
        <v>45624</v>
      </c>
      <c r="C557" s="1" t="n">
        <v>45788</v>
      </c>
      <c r="D557" t="inlineStr">
        <is>
          <t>VÄSTERBOTTENS LÄN</t>
        </is>
      </c>
      <c r="E557" t="inlineStr">
        <is>
          <t>LYCKSELE</t>
        </is>
      </c>
      <c r="F557" t="inlineStr">
        <is>
          <t>Sveaskog</t>
        </is>
      </c>
      <c r="G557" t="n">
        <v>8.1</v>
      </c>
      <c r="H557" t="n">
        <v>0</v>
      </c>
      <c r="I557" t="n">
        <v>2</v>
      </c>
      <c r="J557" t="n">
        <v>3</v>
      </c>
      <c r="K557" t="n">
        <v>0</v>
      </c>
      <c r="L557" t="n">
        <v>0</v>
      </c>
      <c r="M557" t="n">
        <v>0</v>
      </c>
      <c r="N557" t="n">
        <v>0</v>
      </c>
      <c r="O557" t="n">
        <v>3</v>
      </c>
      <c r="P557" t="n">
        <v>0</v>
      </c>
      <c r="Q557" t="n">
        <v>5</v>
      </c>
      <c r="R557" s="2" t="inlineStr">
        <is>
          <t>Granticka
Rosenticka
Vedskivlav
Trådticka
Vedticka</t>
        </is>
      </c>
      <c r="S557">
        <f>HYPERLINK("https://klasma.github.io/Logging_2481/artfynd/A 56053-2024 artfynd.xlsx", "A 56053-2024")</f>
        <v/>
      </c>
      <c r="T557">
        <f>HYPERLINK("https://klasma.github.io/Logging_2481/kartor/A 56053-2024 karta.png", "A 56053-2024")</f>
        <v/>
      </c>
      <c r="V557">
        <f>HYPERLINK("https://klasma.github.io/Logging_2481/klagomål/A 56053-2024 FSC-klagomål.docx", "A 56053-2024")</f>
        <v/>
      </c>
      <c r="W557">
        <f>HYPERLINK("https://klasma.github.io/Logging_2481/klagomålsmail/A 56053-2024 FSC-klagomål mail.docx", "A 56053-2024")</f>
        <v/>
      </c>
      <c r="X557">
        <f>HYPERLINK("https://klasma.github.io/Logging_2481/tillsyn/A 56053-2024 tillsynsbegäran.docx", "A 56053-2024")</f>
        <v/>
      </c>
      <c r="Y557">
        <f>HYPERLINK("https://klasma.github.io/Logging_2481/tillsynsmail/A 56053-2024 tillsynsbegäran mail.docx", "A 56053-2024")</f>
        <v/>
      </c>
    </row>
    <row r="558" ht="15" customHeight="1">
      <c r="A558" t="inlineStr">
        <is>
          <t>A 59868-2024</t>
        </is>
      </c>
      <c r="B558" s="1" t="n">
        <v>45640</v>
      </c>
      <c r="C558" s="1" t="n">
        <v>45788</v>
      </c>
      <c r="D558" t="inlineStr">
        <is>
          <t>VÄSTERBOTTENS LÄN</t>
        </is>
      </c>
      <c r="E558" t="inlineStr">
        <is>
          <t>ROBERTSFORS</t>
        </is>
      </c>
      <c r="G558" t="n">
        <v>1.4</v>
      </c>
      <c r="H558" t="n">
        <v>2</v>
      </c>
      <c r="I558" t="n">
        <v>1</v>
      </c>
      <c r="J558" t="n">
        <v>4</v>
      </c>
      <c r="K558" t="n">
        <v>0</v>
      </c>
      <c r="L558" t="n">
        <v>0</v>
      </c>
      <c r="M558" t="n">
        <v>0</v>
      </c>
      <c r="N558" t="n">
        <v>0</v>
      </c>
      <c r="O558" t="n">
        <v>4</v>
      </c>
      <c r="P558" t="n">
        <v>0</v>
      </c>
      <c r="Q558" t="n">
        <v>5</v>
      </c>
      <c r="R558" s="2" t="inlineStr">
        <is>
          <t>Garnlav
Harticka
Spillkråka
Tretåig hackspett
Vedticka</t>
        </is>
      </c>
      <c r="S558">
        <f>HYPERLINK("https://klasma.github.io/Logging_2409/artfynd/A 59868-2024 artfynd.xlsx", "A 59868-2024")</f>
        <v/>
      </c>
      <c r="T558">
        <f>HYPERLINK("https://klasma.github.io/Logging_2409/kartor/A 59868-2024 karta.png", "A 59868-2024")</f>
        <v/>
      </c>
      <c r="V558">
        <f>HYPERLINK("https://klasma.github.io/Logging_2409/klagomål/A 59868-2024 FSC-klagomål.docx", "A 59868-2024")</f>
        <v/>
      </c>
      <c r="W558">
        <f>HYPERLINK("https://klasma.github.io/Logging_2409/klagomålsmail/A 59868-2024 FSC-klagomål mail.docx", "A 59868-2024")</f>
        <v/>
      </c>
      <c r="X558">
        <f>HYPERLINK("https://klasma.github.io/Logging_2409/tillsyn/A 59868-2024 tillsynsbegäran.docx", "A 59868-2024")</f>
        <v/>
      </c>
      <c r="Y558">
        <f>HYPERLINK("https://klasma.github.io/Logging_2409/tillsynsmail/A 59868-2024 tillsynsbegäran mail.docx", "A 59868-2024")</f>
        <v/>
      </c>
      <c r="Z558">
        <f>HYPERLINK("https://klasma.github.io/Logging_2409/fåglar/A 59868-2024 prioriterade fågelarter.docx", "A 59868-2024")</f>
        <v/>
      </c>
    </row>
    <row r="559" ht="15" customHeight="1">
      <c r="A559" t="inlineStr">
        <is>
          <t>A 896-2025</t>
        </is>
      </c>
      <c r="B559" s="1" t="n">
        <v>45665</v>
      </c>
      <c r="C559" s="1" t="n">
        <v>45788</v>
      </c>
      <c r="D559" t="inlineStr">
        <is>
          <t>VÄSTERBOTTENS LÄN</t>
        </is>
      </c>
      <c r="E559" t="inlineStr">
        <is>
          <t>VILHELMINA</t>
        </is>
      </c>
      <c r="G559" t="n">
        <v>24.8</v>
      </c>
      <c r="H559" t="n">
        <v>1</v>
      </c>
      <c r="I559" t="n">
        <v>0</v>
      </c>
      <c r="J559" t="n">
        <v>4</v>
      </c>
      <c r="K559" t="n">
        <v>1</v>
      </c>
      <c r="L559" t="n">
        <v>0</v>
      </c>
      <c r="M559" t="n">
        <v>0</v>
      </c>
      <c r="N559" t="n">
        <v>0</v>
      </c>
      <c r="O559" t="n">
        <v>5</v>
      </c>
      <c r="P559" t="n">
        <v>1</v>
      </c>
      <c r="Q559" t="n">
        <v>5</v>
      </c>
      <c r="R559" s="2" t="inlineStr">
        <is>
          <t>Rynkskinn
Garnlav
Granticka
Tretåig hackspett
Ullticka</t>
        </is>
      </c>
      <c r="S559">
        <f>HYPERLINK("https://klasma.github.io/Logging_2462/artfynd/A 896-2025 artfynd.xlsx", "A 896-2025")</f>
        <v/>
      </c>
      <c r="T559">
        <f>HYPERLINK("https://klasma.github.io/Logging_2462/kartor/A 896-2025 karta.png", "A 896-2025")</f>
        <v/>
      </c>
      <c r="V559">
        <f>HYPERLINK("https://klasma.github.io/Logging_2462/klagomål/A 896-2025 FSC-klagomål.docx", "A 896-2025")</f>
        <v/>
      </c>
      <c r="W559">
        <f>HYPERLINK("https://klasma.github.io/Logging_2462/klagomålsmail/A 896-2025 FSC-klagomål mail.docx", "A 896-2025")</f>
        <v/>
      </c>
      <c r="X559">
        <f>HYPERLINK("https://klasma.github.io/Logging_2462/tillsyn/A 896-2025 tillsynsbegäran.docx", "A 896-2025")</f>
        <v/>
      </c>
      <c r="Y559">
        <f>HYPERLINK("https://klasma.github.io/Logging_2462/tillsynsmail/A 896-2025 tillsynsbegäran mail.docx", "A 896-2025")</f>
        <v/>
      </c>
      <c r="Z559">
        <f>HYPERLINK("https://klasma.github.io/Logging_2462/fåglar/A 896-2025 prioriterade fågelarter.docx", "A 896-2025")</f>
        <v/>
      </c>
    </row>
    <row r="560" ht="15" customHeight="1">
      <c r="A560" t="inlineStr">
        <is>
          <t>A 3605-2025</t>
        </is>
      </c>
      <c r="B560" s="1" t="n">
        <v>45681</v>
      </c>
      <c r="C560" s="1" t="n">
        <v>45788</v>
      </c>
      <c r="D560" t="inlineStr">
        <is>
          <t>VÄSTERBOTTENS LÄN</t>
        </is>
      </c>
      <c r="E560" t="inlineStr">
        <is>
          <t>VILHELMINA</t>
        </is>
      </c>
      <c r="G560" t="n">
        <v>12.5</v>
      </c>
      <c r="H560" t="n">
        <v>0</v>
      </c>
      <c r="I560" t="n">
        <v>0</v>
      </c>
      <c r="J560" t="n">
        <v>5</v>
      </c>
      <c r="K560" t="n">
        <v>0</v>
      </c>
      <c r="L560" t="n">
        <v>0</v>
      </c>
      <c r="M560" t="n">
        <v>0</v>
      </c>
      <c r="N560" t="n">
        <v>0</v>
      </c>
      <c r="O560" t="n">
        <v>5</v>
      </c>
      <c r="P560" t="n">
        <v>0</v>
      </c>
      <c r="Q560" t="n">
        <v>5</v>
      </c>
      <c r="R560" s="2" t="inlineStr">
        <is>
          <t>Doftskinn
Granticka
Harticka
Leptoporus mollis
Ullticka</t>
        </is>
      </c>
      <c r="S560">
        <f>HYPERLINK("https://klasma.github.io/Logging_2462/artfynd/A 3605-2025 artfynd.xlsx", "A 3605-2025")</f>
        <v/>
      </c>
      <c r="T560">
        <f>HYPERLINK("https://klasma.github.io/Logging_2462/kartor/A 3605-2025 karta.png", "A 3605-2025")</f>
        <v/>
      </c>
      <c r="V560">
        <f>HYPERLINK("https://klasma.github.io/Logging_2462/klagomål/A 3605-2025 FSC-klagomål.docx", "A 3605-2025")</f>
        <v/>
      </c>
      <c r="W560">
        <f>HYPERLINK("https://klasma.github.io/Logging_2462/klagomålsmail/A 3605-2025 FSC-klagomål mail.docx", "A 3605-2025")</f>
        <v/>
      </c>
      <c r="X560">
        <f>HYPERLINK("https://klasma.github.io/Logging_2462/tillsyn/A 3605-2025 tillsynsbegäran.docx", "A 3605-2025")</f>
        <v/>
      </c>
      <c r="Y560">
        <f>HYPERLINK("https://klasma.github.io/Logging_2462/tillsynsmail/A 3605-2025 tillsynsbegäran mail.docx", "A 3605-2025")</f>
        <v/>
      </c>
    </row>
    <row r="561" ht="15" customHeight="1">
      <c r="A561" t="inlineStr">
        <is>
          <t>A 32689-2019</t>
        </is>
      </c>
      <c r="B561" s="1" t="n">
        <v>43647</v>
      </c>
      <c r="C561" s="1" t="n">
        <v>45788</v>
      </c>
      <c r="D561" t="inlineStr">
        <is>
          <t>VÄSTERBOTTENS LÄN</t>
        </is>
      </c>
      <c r="E561" t="inlineStr">
        <is>
          <t>SKELLEFTEÅ</t>
        </is>
      </c>
      <c r="G561" t="n">
        <v>46.9</v>
      </c>
      <c r="H561" t="n">
        <v>0</v>
      </c>
      <c r="I561" t="n">
        <v>2</v>
      </c>
      <c r="J561" t="n">
        <v>2</v>
      </c>
      <c r="K561" t="n">
        <v>0</v>
      </c>
      <c r="L561" t="n">
        <v>0</v>
      </c>
      <c r="M561" t="n">
        <v>0</v>
      </c>
      <c r="N561" t="n">
        <v>0</v>
      </c>
      <c r="O561" t="n">
        <v>2</v>
      </c>
      <c r="P561" t="n">
        <v>0</v>
      </c>
      <c r="Q561" t="n">
        <v>4</v>
      </c>
      <c r="R561" s="2" t="inlineStr">
        <is>
          <t>Dvärgbägarlav
Lunglav
Luddlav
Stuplav</t>
        </is>
      </c>
      <c r="S561">
        <f>HYPERLINK("https://klasma.github.io/Logging_2482/artfynd/A 32689-2019 artfynd.xlsx", "A 32689-2019")</f>
        <v/>
      </c>
      <c r="T561">
        <f>HYPERLINK("https://klasma.github.io/Logging_2482/kartor/A 32689-2019 karta.png", "A 32689-2019")</f>
        <v/>
      </c>
      <c r="V561">
        <f>HYPERLINK("https://klasma.github.io/Logging_2482/klagomål/A 32689-2019 FSC-klagomål.docx", "A 32689-2019")</f>
        <v/>
      </c>
      <c r="W561">
        <f>HYPERLINK("https://klasma.github.io/Logging_2482/klagomålsmail/A 32689-2019 FSC-klagomål mail.docx", "A 32689-2019")</f>
        <v/>
      </c>
      <c r="X561">
        <f>HYPERLINK("https://klasma.github.io/Logging_2482/tillsyn/A 32689-2019 tillsynsbegäran.docx", "A 32689-2019")</f>
        <v/>
      </c>
      <c r="Y561">
        <f>HYPERLINK("https://klasma.github.io/Logging_2482/tillsynsmail/A 32689-2019 tillsynsbegäran mail.docx", "A 32689-2019")</f>
        <v/>
      </c>
    </row>
    <row r="562" ht="15" customHeight="1">
      <c r="A562" t="inlineStr">
        <is>
          <t>A 36155-2019</t>
        </is>
      </c>
      <c r="B562" s="1" t="n">
        <v>43668</v>
      </c>
      <c r="C562" s="1" t="n">
        <v>45788</v>
      </c>
      <c r="D562" t="inlineStr">
        <is>
          <t>VÄSTERBOTTENS LÄN</t>
        </is>
      </c>
      <c r="E562" t="inlineStr">
        <is>
          <t>LYCKSELE</t>
        </is>
      </c>
      <c r="F562" t="inlineStr">
        <is>
          <t>Sveaskog</t>
        </is>
      </c>
      <c r="G562" t="n">
        <v>18.2</v>
      </c>
      <c r="H562" t="n">
        <v>2</v>
      </c>
      <c r="I562" t="n">
        <v>2</v>
      </c>
      <c r="J562" t="n">
        <v>1</v>
      </c>
      <c r="K562" t="n">
        <v>0</v>
      </c>
      <c r="L562" t="n">
        <v>0</v>
      </c>
      <c r="M562" t="n">
        <v>0</v>
      </c>
      <c r="N562" t="n">
        <v>0</v>
      </c>
      <c r="O562" t="n">
        <v>1</v>
      </c>
      <c r="P562" t="n">
        <v>0</v>
      </c>
      <c r="Q562" t="n">
        <v>4</v>
      </c>
      <c r="R562" s="2" t="inlineStr">
        <is>
          <t>Vedskivlav
Dropptaggsvamp
Plattlummer
Vanlig groda</t>
        </is>
      </c>
      <c r="S562">
        <f>HYPERLINK("https://klasma.github.io/Logging_2481/artfynd/A 36155-2019 artfynd.xlsx", "A 36155-2019")</f>
        <v/>
      </c>
      <c r="T562">
        <f>HYPERLINK("https://klasma.github.io/Logging_2481/kartor/A 36155-2019 karta.png", "A 36155-2019")</f>
        <v/>
      </c>
      <c r="U562">
        <f>HYPERLINK("https://klasma.github.io/Logging_2481/knärot/A 36155-2019 karta knärot.png", "A 36155-2019")</f>
        <v/>
      </c>
      <c r="V562">
        <f>HYPERLINK("https://klasma.github.io/Logging_2481/klagomål/A 36155-2019 FSC-klagomål.docx", "A 36155-2019")</f>
        <v/>
      </c>
      <c r="W562">
        <f>HYPERLINK("https://klasma.github.io/Logging_2481/klagomålsmail/A 36155-2019 FSC-klagomål mail.docx", "A 36155-2019")</f>
        <v/>
      </c>
      <c r="X562">
        <f>HYPERLINK("https://klasma.github.io/Logging_2481/tillsyn/A 36155-2019 tillsynsbegäran.docx", "A 36155-2019")</f>
        <v/>
      </c>
      <c r="Y562">
        <f>HYPERLINK("https://klasma.github.io/Logging_2481/tillsynsmail/A 36155-2019 tillsynsbegäran mail.docx", "A 36155-2019")</f>
        <v/>
      </c>
    </row>
    <row r="563" ht="15" customHeight="1">
      <c r="A563" t="inlineStr">
        <is>
          <t>A 52731-2019</t>
        </is>
      </c>
      <c r="B563" s="1" t="n">
        <v>43739</v>
      </c>
      <c r="C563" s="1" t="n">
        <v>45788</v>
      </c>
      <c r="D563" t="inlineStr">
        <is>
          <t>VÄSTERBOTTENS LÄN</t>
        </is>
      </c>
      <c r="E563" t="inlineStr">
        <is>
          <t>SKELLEFTEÅ</t>
        </is>
      </c>
      <c r="G563" t="n">
        <v>6.5</v>
      </c>
      <c r="H563" t="n">
        <v>0</v>
      </c>
      <c r="I563" t="n">
        <v>0</v>
      </c>
      <c r="J563" t="n">
        <v>4</v>
      </c>
      <c r="K563" t="n">
        <v>0</v>
      </c>
      <c r="L563" t="n">
        <v>0</v>
      </c>
      <c r="M563" t="n">
        <v>0</v>
      </c>
      <c r="N563" t="n">
        <v>0</v>
      </c>
      <c r="O563" t="n">
        <v>4</v>
      </c>
      <c r="P563" t="n">
        <v>0</v>
      </c>
      <c r="Q563" t="n">
        <v>4</v>
      </c>
      <c r="R563" s="2" t="inlineStr">
        <is>
          <t>Granticka
Lunglav
Ullticka
Violettgrå tagellav</t>
        </is>
      </c>
      <c r="S563">
        <f>HYPERLINK("https://klasma.github.io/Logging_2482/artfynd/A 52731-2019 artfynd.xlsx", "A 52731-2019")</f>
        <v/>
      </c>
      <c r="T563">
        <f>HYPERLINK("https://klasma.github.io/Logging_2482/kartor/A 52731-2019 karta.png", "A 52731-2019")</f>
        <v/>
      </c>
      <c r="V563">
        <f>HYPERLINK("https://klasma.github.io/Logging_2482/klagomål/A 52731-2019 FSC-klagomål.docx", "A 52731-2019")</f>
        <v/>
      </c>
      <c r="W563">
        <f>HYPERLINK("https://klasma.github.io/Logging_2482/klagomålsmail/A 52731-2019 FSC-klagomål mail.docx", "A 52731-2019")</f>
        <v/>
      </c>
      <c r="X563">
        <f>HYPERLINK("https://klasma.github.io/Logging_2482/tillsyn/A 52731-2019 tillsynsbegäran.docx", "A 52731-2019")</f>
        <v/>
      </c>
      <c r="Y563">
        <f>HYPERLINK("https://klasma.github.io/Logging_2482/tillsynsmail/A 52731-2019 tillsynsbegäran mail.docx", "A 52731-2019")</f>
        <v/>
      </c>
    </row>
    <row r="564" ht="15" customHeight="1">
      <c r="A564" t="inlineStr">
        <is>
          <t>A 55630-2019</t>
        </is>
      </c>
      <c r="B564" s="1" t="n">
        <v>43755</v>
      </c>
      <c r="C564" s="1" t="n">
        <v>45788</v>
      </c>
      <c r="D564" t="inlineStr">
        <is>
          <t>VÄSTERBOTTENS LÄN</t>
        </is>
      </c>
      <c r="E564" t="inlineStr">
        <is>
          <t>SKELLEFTEÅ</t>
        </is>
      </c>
      <c r="G564" t="n">
        <v>20.2</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HYPERLINK("https://klasma.github.io/Logging_2482/artfynd/A 55630-2019 artfynd.xlsx", "A 55630-2019")</f>
        <v/>
      </c>
      <c r="T564">
        <f>HYPERLINK("https://klasma.github.io/Logging_2482/kartor/A 55630-2019 karta.png", "A 55630-2019")</f>
        <v/>
      </c>
      <c r="V564">
        <f>HYPERLINK("https://klasma.github.io/Logging_2482/klagomål/A 55630-2019 FSC-klagomål.docx", "A 55630-2019")</f>
        <v/>
      </c>
      <c r="W564">
        <f>HYPERLINK("https://klasma.github.io/Logging_2482/klagomålsmail/A 55630-2019 FSC-klagomål mail.docx", "A 55630-2019")</f>
        <v/>
      </c>
      <c r="X564">
        <f>HYPERLINK("https://klasma.github.io/Logging_2482/tillsyn/A 55630-2019 tillsynsbegäran.docx", "A 55630-2019")</f>
        <v/>
      </c>
      <c r="Y564">
        <f>HYPERLINK("https://klasma.github.io/Logging_2482/tillsynsmail/A 55630-2019 tillsynsbegäran mail.docx", "A 55630-2019")</f>
        <v/>
      </c>
    </row>
    <row r="565" ht="15" customHeight="1">
      <c r="A565" t="inlineStr">
        <is>
          <t>A 2336-2020</t>
        </is>
      </c>
      <c r="B565" s="1" t="n">
        <v>43846</v>
      </c>
      <c r="C565" s="1" t="n">
        <v>45788</v>
      </c>
      <c r="D565" t="inlineStr">
        <is>
          <t>VÄSTERBOTTENS LÄN</t>
        </is>
      </c>
      <c r="E565" t="inlineStr">
        <is>
          <t>UMEÅ</t>
        </is>
      </c>
      <c r="G565" t="n">
        <v>4.7</v>
      </c>
      <c r="H565" t="n">
        <v>0</v>
      </c>
      <c r="I565" t="n">
        <v>0</v>
      </c>
      <c r="J565" t="n">
        <v>4</v>
      </c>
      <c r="K565" t="n">
        <v>0</v>
      </c>
      <c r="L565" t="n">
        <v>0</v>
      </c>
      <c r="M565" t="n">
        <v>0</v>
      </c>
      <c r="N565" t="n">
        <v>0</v>
      </c>
      <c r="O565" t="n">
        <v>4</v>
      </c>
      <c r="P565" t="n">
        <v>0</v>
      </c>
      <c r="Q565" t="n">
        <v>4</v>
      </c>
      <c r="R565" s="2" t="inlineStr">
        <is>
          <t>Gammelgransskål
Garnlav
Stjärntagging
Vedflikmossa</t>
        </is>
      </c>
      <c r="S565">
        <f>HYPERLINK("https://klasma.github.io/Logging_2480/artfynd/A 2336-2020 artfynd.xlsx", "A 2336-2020")</f>
        <v/>
      </c>
      <c r="T565">
        <f>HYPERLINK("https://klasma.github.io/Logging_2480/kartor/A 2336-2020 karta.png", "A 2336-2020")</f>
        <v/>
      </c>
      <c r="V565">
        <f>HYPERLINK("https://klasma.github.io/Logging_2480/klagomål/A 2336-2020 FSC-klagomål.docx", "A 2336-2020")</f>
        <v/>
      </c>
      <c r="W565">
        <f>HYPERLINK("https://klasma.github.io/Logging_2480/klagomålsmail/A 2336-2020 FSC-klagomål mail.docx", "A 2336-2020")</f>
        <v/>
      </c>
      <c r="X565">
        <f>HYPERLINK("https://klasma.github.io/Logging_2480/tillsyn/A 2336-2020 tillsynsbegäran.docx", "A 2336-2020")</f>
        <v/>
      </c>
      <c r="Y565">
        <f>HYPERLINK("https://klasma.github.io/Logging_2480/tillsynsmail/A 2336-2020 tillsynsbegäran mail.docx", "A 2336-2020")</f>
        <v/>
      </c>
    </row>
    <row r="566" ht="15" customHeight="1">
      <c r="A566" t="inlineStr">
        <is>
          <t>A 5167-2020</t>
        </is>
      </c>
      <c r="B566" s="1" t="n">
        <v>43854</v>
      </c>
      <c r="C566" s="1" t="n">
        <v>45788</v>
      </c>
      <c r="D566" t="inlineStr">
        <is>
          <t>VÄSTERBOTTENS LÄN</t>
        </is>
      </c>
      <c r="E566" t="inlineStr">
        <is>
          <t>STORUMAN</t>
        </is>
      </c>
      <c r="G566" t="n">
        <v>17</v>
      </c>
      <c r="H566" t="n">
        <v>3</v>
      </c>
      <c r="I566" t="n">
        <v>2</v>
      </c>
      <c r="J566" t="n">
        <v>2</v>
      </c>
      <c r="K566" t="n">
        <v>0</v>
      </c>
      <c r="L566" t="n">
        <v>0</v>
      </c>
      <c r="M566" t="n">
        <v>0</v>
      </c>
      <c r="N566" t="n">
        <v>0</v>
      </c>
      <c r="O566" t="n">
        <v>2</v>
      </c>
      <c r="P566" t="n">
        <v>0</v>
      </c>
      <c r="Q566" t="n">
        <v>4</v>
      </c>
      <c r="R566" s="2" t="inlineStr">
        <is>
          <t>Järpe
Tretåig hackspett
Lappranunkel
Luddlav</t>
        </is>
      </c>
      <c r="S566">
        <f>HYPERLINK("https://klasma.github.io/Logging_2421/artfynd/A 5167-2020 artfynd.xlsx", "A 5167-2020")</f>
        <v/>
      </c>
      <c r="T566">
        <f>HYPERLINK("https://klasma.github.io/Logging_2421/kartor/A 5167-2020 karta.png", "A 5167-2020")</f>
        <v/>
      </c>
      <c r="U566">
        <f>HYPERLINK("https://klasma.github.io/Logging_2421/knärot/A 5167-2020 karta knärot.png", "A 5167-2020")</f>
        <v/>
      </c>
      <c r="V566">
        <f>HYPERLINK("https://klasma.github.io/Logging_2421/klagomål/A 5167-2020 FSC-klagomål.docx", "A 5167-2020")</f>
        <v/>
      </c>
      <c r="W566">
        <f>HYPERLINK("https://klasma.github.io/Logging_2421/klagomålsmail/A 5167-2020 FSC-klagomål mail.docx", "A 5167-2020")</f>
        <v/>
      </c>
      <c r="X566">
        <f>HYPERLINK("https://klasma.github.io/Logging_2421/tillsyn/A 5167-2020 tillsynsbegäran.docx", "A 5167-2020")</f>
        <v/>
      </c>
      <c r="Y566">
        <f>HYPERLINK("https://klasma.github.io/Logging_2421/tillsynsmail/A 5167-2020 tillsynsbegäran mail.docx", "A 5167-2020")</f>
        <v/>
      </c>
      <c r="Z566">
        <f>HYPERLINK("https://klasma.github.io/Logging_2421/fåglar/A 5167-2020 prioriterade fågelarter.docx", "A 5167-2020")</f>
        <v/>
      </c>
    </row>
    <row r="567" ht="15" customHeight="1">
      <c r="A567" t="inlineStr">
        <is>
          <t>A 8741-2020</t>
        </is>
      </c>
      <c r="B567" s="1" t="n">
        <v>43878</v>
      </c>
      <c r="C567" s="1" t="n">
        <v>45788</v>
      </c>
      <c r="D567" t="inlineStr">
        <is>
          <t>VÄSTERBOTTENS LÄN</t>
        </is>
      </c>
      <c r="E567" t="inlineStr">
        <is>
          <t>VINDELN</t>
        </is>
      </c>
      <c r="G567" t="n">
        <v>2.9</v>
      </c>
      <c r="H567" t="n">
        <v>0</v>
      </c>
      <c r="I567" t="n">
        <v>1</v>
      </c>
      <c r="J567" t="n">
        <v>3</v>
      </c>
      <c r="K567" t="n">
        <v>0</v>
      </c>
      <c r="L567" t="n">
        <v>0</v>
      </c>
      <c r="M567" t="n">
        <v>0</v>
      </c>
      <c r="N567" t="n">
        <v>0</v>
      </c>
      <c r="O567" t="n">
        <v>3</v>
      </c>
      <c r="P567" t="n">
        <v>0</v>
      </c>
      <c r="Q567" t="n">
        <v>4</v>
      </c>
      <c r="R567" s="2" t="inlineStr">
        <is>
          <t>Corticaria interstitialis
Granbarkmögelbagge
Scaphisoma subalpinum
Dorcatoma dresdensis</t>
        </is>
      </c>
      <c r="S567">
        <f>HYPERLINK("https://klasma.github.io/Logging_2404/artfynd/A 8741-2020 artfynd.xlsx", "A 8741-2020")</f>
        <v/>
      </c>
      <c r="T567">
        <f>HYPERLINK("https://klasma.github.io/Logging_2404/kartor/A 8741-2020 karta.png", "A 8741-2020")</f>
        <v/>
      </c>
      <c r="V567">
        <f>HYPERLINK("https://klasma.github.io/Logging_2404/klagomål/A 8741-2020 FSC-klagomål.docx", "A 8741-2020")</f>
        <v/>
      </c>
      <c r="W567">
        <f>HYPERLINK("https://klasma.github.io/Logging_2404/klagomålsmail/A 8741-2020 FSC-klagomål mail.docx", "A 8741-2020")</f>
        <v/>
      </c>
      <c r="X567">
        <f>HYPERLINK("https://klasma.github.io/Logging_2404/tillsyn/A 8741-2020 tillsynsbegäran.docx", "A 8741-2020")</f>
        <v/>
      </c>
      <c r="Y567">
        <f>HYPERLINK("https://klasma.github.io/Logging_2404/tillsynsmail/A 8741-2020 tillsynsbegäran mail.docx", "A 8741-2020")</f>
        <v/>
      </c>
    </row>
    <row r="568" ht="15" customHeight="1">
      <c r="A568" t="inlineStr">
        <is>
          <t>A 9856-2020</t>
        </is>
      </c>
      <c r="B568" s="1" t="n">
        <v>43882</v>
      </c>
      <c r="C568" s="1" t="n">
        <v>45788</v>
      </c>
      <c r="D568" t="inlineStr">
        <is>
          <t>VÄSTERBOTTENS LÄN</t>
        </is>
      </c>
      <c r="E568" t="inlineStr">
        <is>
          <t>NORDMALING</t>
        </is>
      </c>
      <c r="G568" t="n">
        <v>1</v>
      </c>
      <c r="H568" t="n">
        <v>0</v>
      </c>
      <c r="I568" t="n">
        <v>1</v>
      </c>
      <c r="J568" t="n">
        <v>2</v>
      </c>
      <c r="K568" t="n">
        <v>1</v>
      </c>
      <c r="L568" t="n">
        <v>0</v>
      </c>
      <c r="M568" t="n">
        <v>0</v>
      </c>
      <c r="N568" t="n">
        <v>0</v>
      </c>
      <c r="O568" t="n">
        <v>3</v>
      </c>
      <c r="P568" t="n">
        <v>1</v>
      </c>
      <c r="Q568" t="n">
        <v>4</v>
      </c>
      <c r="R568" s="2" t="inlineStr">
        <is>
          <t>Aspfjädermossa
Lunglav
Stiftgelélav
Luddlav</t>
        </is>
      </c>
      <c r="S568">
        <f>HYPERLINK("https://klasma.github.io/Logging_2401/artfynd/A 9856-2020 artfynd.xlsx", "A 9856-2020")</f>
        <v/>
      </c>
      <c r="T568">
        <f>HYPERLINK("https://klasma.github.io/Logging_2401/kartor/A 9856-2020 karta.png", "A 9856-2020")</f>
        <v/>
      </c>
      <c r="V568">
        <f>HYPERLINK("https://klasma.github.io/Logging_2401/klagomål/A 9856-2020 FSC-klagomål.docx", "A 9856-2020")</f>
        <v/>
      </c>
      <c r="W568">
        <f>HYPERLINK("https://klasma.github.io/Logging_2401/klagomålsmail/A 9856-2020 FSC-klagomål mail.docx", "A 9856-2020")</f>
        <v/>
      </c>
      <c r="X568">
        <f>HYPERLINK("https://klasma.github.io/Logging_2401/tillsyn/A 9856-2020 tillsynsbegäran.docx", "A 9856-2020")</f>
        <v/>
      </c>
      <c r="Y568">
        <f>HYPERLINK("https://klasma.github.io/Logging_2401/tillsynsmail/A 9856-2020 tillsynsbegäran mail.docx", "A 9856-2020")</f>
        <v/>
      </c>
    </row>
    <row r="569" ht="15" customHeight="1">
      <c r="A569" t="inlineStr">
        <is>
          <t>A 13048-2020</t>
        </is>
      </c>
      <c r="B569" s="1" t="n">
        <v>43900</v>
      </c>
      <c r="C569" s="1" t="n">
        <v>45788</v>
      </c>
      <c r="D569" t="inlineStr">
        <is>
          <t>VÄSTERBOTTENS LÄN</t>
        </is>
      </c>
      <c r="E569" t="inlineStr">
        <is>
          <t>UMEÅ</t>
        </is>
      </c>
      <c r="F569" t="inlineStr">
        <is>
          <t>Holmen skog AB</t>
        </is>
      </c>
      <c r="G569" t="n">
        <v>2</v>
      </c>
      <c r="H569" t="n">
        <v>2</v>
      </c>
      <c r="I569" t="n">
        <v>0</v>
      </c>
      <c r="J569" t="n">
        <v>4</v>
      </c>
      <c r="K569" t="n">
        <v>0</v>
      </c>
      <c r="L569" t="n">
        <v>0</v>
      </c>
      <c r="M569" t="n">
        <v>0</v>
      </c>
      <c r="N569" t="n">
        <v>0</v>
      </c>
      <c r="O569" t="n">
        <v>4</v>
      </c>
      <c r="P569" t="n">
        <v>0</v>
      </c>
      <c r="Q569" t="n">
        <v>4</v>
      </c>
      <c r="R569" s="2" t="inlineStr">
        <is>
          <t>Drillsnäppa
Granticka
Spillkråka
Veckticka</t>
        </is>
      </c>
      <c r="S569">
        <f>HYPERLINK("https://klasma.github.io/Logging_2480/artfynd/A 13048-2020 artfynd.xlsx", "A 13048-2020")</f>
        <v/>
      </c>
      <c r="T569">
        <f>HYPERLINK("https://klasma.github.io/Logging_2480/kartor/A 13048-2020 karta.png", "A 13048-2020")</f>
        <v/>
      </c>
      <c r="V569">
        <f>HYPERLINK("https://klasma.github.io/Logging_2480/klagomål/A 13048-2020 FSC-klagomål.docx", "A 13048-2020")</f>
        <v/>
      </c>
      <c r="W569">
        <f>HYPERLINK("https://klasma.github.io/Logging_2480/klagomålsmail/A 13048-2020 FSC-klagomål mail.docx", "A 13048-2020")</f>
        <v/>
      </c>
      <c r="X569">
        <f>HYPERLINK("https://klasma.github.io/Logging_2480/tillsyn/A 13048-2020 tillsynsbegäran.docx", "A 13048-2020")</f>
        <v/>
      </c>
      <c r="Y569">
        <f>HYPERLINK("https://klasma.github.io/Logging_2480/tillsynsmail/A 13048-2020 tillsynsbegäran mail.docx", "A 13048-2020")</f>
        <v/>
      </c>
      <c r="Z569">
        <f>HYPERLINK("https://klasma.github.io/Logging_2480/fåglar/A 13048-2020 prioriterade fågelarter.docx", "A 13048-2020")</f>
        <v/>
      </c>
    </row>
    <row r="570" ht="15" customHeight="1">
      <c r="A570" t="inlineStr">
        <is>
          <t>A 26906-2020</t>
        </is>
      </c>
      <c r="B570" s="1" t="n">
        <v>43990</v>
      </c>
      <c r="C570" s="1" t="n">
        <v>45788</v>
      </c>
      <c r="D570" t="inlineStr">
        <is>
          <t>VÄSTERBOTTENS LÄN</t>
        </is>
      </c>
      <c r="E570" t="inlineStr">
        <is>
          <t>SKELLEFTEÅ</t>
        </is>
      </c>
      <c r="F570" t="inlineStr">
        <is>
          <t>Holmen skog AB</t>
        </is>
      </c>
      <c r="G570" t="n">
        <v>5.2</v>
      </c>
      <c r="H570" t="n">
        <v>0</v>
      </c>
      <c r="I570" t="n">
        <v>2</v>
      </c>
      <c r="J570" t="n">
        <v>2</v>
      </c>
      <c r="K570" t="n">
        <v>0</v>
      </c>
      <c r="L570" t="n">
        <v>0</v>
      </c>
      <c r="M570" t="n">
        <v>0</v>
      </c>
      <c r="N570" t="n">
        <v>0</v>
      </c>
      <c r="O570" t="n">
        <v>2</v>
      </c>
      <c r="P570" t="n">
        <v>0</v>
      </c>
      <c r="Q570" t="n">
        <v>4</v>
      </c>
      <c r="R570" s="2" t="inlineStr">
        <is>
          <t>Granticka
Lunglav
Bårdlav
Luddlav</t>
        </is>
      </c>
      <c r="S570">
        <f>HYPERLINK("https://klasma.github.io/Logging_2482/artfynd/A 26906-2020 artfynd.xlsx", "A 26906-2020")</f>
        <v/>
      </c>
      <c r="T570">
        <f>HYPERLINK("https://klasma.github.io/Logging_2482/kartor/A 26906-2020 karta.png", "A 26906-2020")</f>
        <v/>
      </c>
      <c r="V570">
        <f>HYPERLINK("https://klasma.github.io/Logging_2482/klagomål/A 26906-2020 FSC-klagomål.docx", "A 26906-2020")</f>
        <v/>
      </c>
      <c r="W570">
        <f>HYPERLINK("https://klasma.github.io/Logging_2482/klagomålsmail/A 26906-2020 FSC-klagomål mail.docx", "A 26906-2020")</f>
        <v/>
      </c>
      <c r="X570">
        <f>HYPERLINK("https://klasma.github.io/Logging_2482/tillsyn/A 26906-2020 tillsynsbegäran.docx", "A 26906-2020")</f>
        <v/>
      </c>
      <c r="Y570">
        <f>HYPERLINK("https://klasma.github.io/Logging_2482/tillsynsmail/A 26906-2020 tillsynsbegäran mail.docx", "A 26906-2020")</f>
        <v/>
      </c>
    </row>
    <row r="571" ht="15" customHeight="1">
      <c r="A571" t="inlineStr">
        <is>
          <t>A 29234-2020</t>
        </is>
      </c>
      <c r="B571" s="1" t="n">
        <v>44000</v>
      </c>
      <c r="C571" s="1" t="n">
        <v>45788</v>
      </c>
      <c r="D571" t="inlineStr">
        <is>
          <t>VÄSTERBOTTENS LÄN</t>
        </is>
      </c>
      <c r="E571" t="inlineStr">
        <is>
          <t>VILHELMINA</t>
        </is>
      </c>
      <c r="F571" t="inlineStr">
        <is>
          <t>Allmännings- och besparingsskogar</t>
        </is>
      </c>
      <c r="G571" t="n">
        <v>14.1</v>
      </c>
      <c r="H571" t="n">
        <v>0</v>
      </c>
      <c r="I571" t="n">
        <v>1</v>
      </c>
      <c r="J571" t="n">
        <v>3</v>
      </c>
      <c r="K571" t="n">
        <v>0</v>
      </c>
      <c r="L571" t="n">
        <v>0</v>
      </c>
      <c r="M571" t="n">
        <v>0</v>
      </c>
      <c r="N571" t="n">
        <v>0</v>
      </c>
      <c r="O571" t="n">
        <v>3</v>
      </c>
      <c r="P571" t="n">
        <v>0</v>
      </c>
      <c r="Q571" t="n">
        <v>4</v>
      </c>
      <c r="R571" s="2" t="inlineStr">
        <is>
          <t>Garnlav
Granticka
Gränsticka
Stuplav</t>
        </is>
      </c>
      <c r="S571">
        <f>HYPERLINK("https://klasma.github.io/Logging_2462/artfynd/A 29234-2020 artfynd.xlsx", "A 29234-2020")</f>
        <v/>
      </c>
      <c r="T571">
        <f>HYPERLINK("https://klasma.github.io/Logging_2462/kartor/A 29234-2020 karta.png", "A 29234-2020")</f>
        <v/>
      </c>
      <c r="V571">
        <f>HYPERLINK("https://klasma.github.io/Logging_2462/klagomål/A 29234-2020 FSC-klagomål.docx", "A 29234-2020")</f>
        <v/>
      </c>
      <c r="W571">
        <f>HYPERLINK("https://klasma.github.io/Logging_2462/klagomålsmail/A 29234-2020 FSC-klagomål mail.docx", "A 29234-2020")</f>
        <v/>
      </c>
      <c r="X571">
        <f>HYPERLINK("https://klasma.github.io/Logging_2462/tillsyn/A 29234-2020 tillsynsbegäran.docx", "A 29234-2020")</f>
        <v/>
      </c>
      <c r="Y571">
        <f>HYPERLINK("https://klasma.github.io/Logging_2462/tillsynsmail/A 29234-2020 tillsynsbegäran mail.docx", "A 29234-2020")</f>
        <v/>
      </c>
    </row>
    <row r="572" ht="15" customHeight="1">
      <c r="A572" t="inlineStr">
        <is>
          <t>A 30604-2020</t>
        </is>
      </c>
      <c r="B572" s="1" t="n">
        <v>44008</v>
      </c>
      <c r="C572" s="1" t="n">
        <v>45788</v>
      </c>
      <c r="D572" t="inlineStr">
        <is>
          <t>VÄSTERBOTTENS LÄN</t>
        </is>
      </c>
      <c r="E572" t="inlineStr">
        <is>
          <t>SKELLEFTEÅ</t>
        </is>
      </c>
      <c r="G572" t="n">
        <v>17.9</v>
      </c>
      <c r="H572" t="n">
        <v>3</v>
      </c>
      <c r="I572" t="n">
        <v>0</v>
      </c>
      <c r="J572" t="n">
        <v>1</v>
      </c>
      <c r="K572" t="n">
        <v>0</v>
      </c>
      <c r="L572" t="n">
        <v>0</v>
      </c>
      <c r="M572" t="n">
        <v>0</v>
      </c>
      <c r="N572" t="n">
        <v>0</v>
      </c>
      <c r="O572" t="n">
        <v>1</v>
      </c>
      <c r="P572" t="n">
        <v>0</v>
      </c>
      <c r="Q572" t="n">
        <v>4</v>
      </c>
      <c r="R572" s="2" t="inlineStr">
        <is>
          <t>Lunglav
Tjäder
Fläcknycklar
Revlummer</t>
        </is>
      </c>
      <c r="S572">
        <f>HYPERLINK("https://klasma.github.io/Logging_2482/artfynd/A 30604-2020 artfynd.xlsx", "A 30604-2020")</f>
        <v/>
      </c>
      <c r="T572">
        <f>HYPERLINK("https://klasma.github.io/Logging_2482/kartor/A 30604-2020 karta.png", "A 30604-2020")</f>
        <v/>
      </c>
      <c r="V572">
        <f>HYPERLINK("https://klasma.github.io/Logging_2482/klagomål/A 30604-2020 FSC-klagomål.docx", "A 30604-2020")</f>
        <v/>
      </c>
      <c r="W572">
        <f>HYPERLINK("https://klasma.github.io/Logging_2482/klagomålsmail/A 30604-2020 FSC-klagomål mail.docx", "A 30604-2020")</f>
        <v/>
      </c>
      <c r="X572">
        <f>HYPERLINK("https://klasma.github.io/Logging_2482/tillsyn/A 30604-2020 tillsynsbegäran.docx", "A 30604-2020")</f>
        <v/>
      </c>
      <c r="Y572">
        <f>HYPERLINK("https://klasma.github.io/Logging_2482/tillsynsmail/A 30604-2020 tillsynsbegäran mail.docx", "A 30604-2020")</f>
        <v/>
      </c>
      <c r="Z572">
        <f>HYPERLINK("https://klasma.github.io/Logging_2482/fåglar/A 30604-2020 prioriterade fågelarter.docx", "A 30604-2020")</f>
        <v/>
      </c>
    </row>
    <row r="573" ht="15" customHeight="1">
      <c r="A573" t="inlineStr">
        <is>
          <t>A 45968-2020</t>
        </is>
      </c>
      <c r="B573" s="1" t="n">
        <v>44091</v>
      </c>
      <c r="C573" s="1" t="n">
        <v>45788</v>
      </c>
      <c r="D573" t="inlineStr">
        <is>
          <t>VÄSTERBOTTENS LÄN</t>
        </is>
      </c>
      <c r="E573" t="inlineStr">
        <is>
          <t>ROBERTSFORS</t>
        </is>
      </c>
      <c r="G573" t="n">
        <v>2.8</v>
      </c>
      <c r="H573" t="n">
        <v>1</v>
      </c>
      <c r="I573" t="n">
        <v>1</v>
      </c>
      <c r="J573" t="n">
        <v>2</v>
      </c>
      <c r="K573" t="n">
        <v>1</v>
      </c>
      <c r="L573" t="n">
        <v>0</v>
      </c>
      <c r="M573" t="n">
        <v>0</v>
      </c>
      <c r="N573" t="n">
        <v>0</v>
      </c>
      <c r="O573" t="n">
        <v>3</v>
      </c>
      <c r="P573" t="n">
        <v>1</v>
      </c>
      <c r="Q573" t="n">
        <v>4</v>
      </c>
      <c r="R573" s="2" t="inlineStr">
        <is>
          <t>Knärot
Gränsticka
Lunglav
Vedticka</t>
        </is>
      </c>
      <c r="S573">
        <f>HYPERLINK("https://klasma.github.io/Logging_2409/artfynd/A 45968-2020 artfynd.xlsx", "A 45968-2020")</f>
        <v/>
      </c>
      <c r="T573">
        <f>HYPERLINK("https://klasma.github.io/Logging_2409/kartor/A 45968-2020 karta.png", "A 45968-2020")</f>
        <v/>
      </c>
      <c r="U573">
        <f>HYPERLINK("https://klasma.github.io/Logging_2409/knärot/A 45968-2020 karta knärot.png", "A 45968-2020")</f>
        <v/>
      </c>
      <c r="V573">
        <f>HYPERLINK("https://klasma.github.io/Logging_2409/klagomål/A 45968-2020 FSC-klagomål.docx", "A 45968-2020")</f>
        <v/>
      </c>
      <c r="W573">
        <f>HYPERLINK("https://klasma.github.io/Logging_2409/klagomålsmail/A 45968-2020 FSC-klagomål mail.docx", "A 45968-2020")</f>
        <v/>
      </c>
      <c r="X573">
        <f>HYPERLINK("https://klasma.github.io/Logging_2409/tillsyn/A 45968-2020 tillsynsbegäran.docx", "A 45968-2020")</f>
        <v/>
      </c>
      <c r="Y573">
        <f>HYPERLINK("https://klasma.github.io/Logging_2409/tillsynsmail/A 45968-2020 tillsynsbegäran mail.docx", "A 45968-2020")</f>
        <v/>
      </c>
    </row>
    <row r="574" ht="15" customHeight="1">
      <c r="A574" t="inlineStr">
        <is>
          <t>A 55812-2020</t>
        </is>
      </c>
      <c r="B574" s="1" t="n">
        <v>44132</v>
      </c>
      <c r="C574" s="1" t="n">
        <v>45788</v>
      </c>
      <c r="D574" t="inlineStr">
        <is>
          <t>VÄSTERBOTTENS LÄN</t>
        </is>
      </c>
      <c r="E574" t="inlineStr">
        <is>
          <t>SKELLEFTEÅ</t>
        </is>
      </c>
      <c r="F574" t="inlineStr">
        <is>
          <t>Sveaskog</t>
        </is>
      </c>
      <c r="G574" t="n">
        <v>10.3</v>
      </c>
      <c r="H574" t="n">
        <v>0</v>
      </c>
      <c r="I574" t="n">
        <v>0</v>
      </c>
      <c r="J574" t="n">
        <v>4</v>
      </c>
      <c r="K574" t="n">
        <v>0</v>
      </c>
      <c r="L574" t="n">
        <v>0</v>
      </c>
      <c r="M574" t="n">
        <v>0</v>
      </c>
      <c r="N574" t="n">
        <v>0</v>
      </c>
      <c r="O574" t="n">
        <v>4</v>
      </c>
      <c r="P574" t="n">
        <v>0</v>
      </c>
      <c r="Q574" t="n">
        <v>4</v>
      </c>
      <c r="R574" s="2" t="inlineStr">
        <is>
          <t>Doftskinn
Garnlav
Granticka
Ullticka</t>
        </is>
      </c>
      <c r="S574">
        <f>HYPERLINK("https://klasma.github.io/Logging_2482/artfynd/A 55812-2020 artfynd.xlsx", "A 55812-2020")</f>
        <v/>
      </c>
      <c r="T574">
        <f>HYPERLINK("https://klasma.github.io/Logging_2482/kartor/A 55812-2020 karta.png", "A 55812-2020")</f>
        <v/>
      </c>
      <c r="V574">
        <f>HYPERLINK("https://klasma.github.io/Logging_2482/klagomål/A 55812-2020 FSC-klagomål.docx", "A 55812-2020")</f>
        <v/>
      </c>
      <c r="W574">
        <f>HYPERLINK("https://klasma.github.io/Logging_2482/klagomålsmail/A 55812-2020 FSC-klagomål mail.docx", "A 55812-2020")</f>
        <v/>
      </c>
      <c r="X574">
        <f>HYPERLINK("https://klasma.github.io/Logging_2482/tillsyn/A 55812-2020 tillsynsbegäran.docx", "A 55812-2020")</f>
        <v/>
      </c>
      <c r="Y574">
        <f>HYPERLINK("https://klasma.github.io/Logging_2482/tillsynsmail/A 55812-2020 tillsynsbegäran mail.docx", "A 55812-2020")</f>
        <v/>
      </c>
    </row>
    <row r="575" ht="15" customHeight="1">
      <c r="A575" t="inlineStr">
        <is>
          <t>A 56894-2020</t>
        </is>
      </c>
      <c r="B575" s="1" t="n">
        <v>44137</v>
      </c>
      <c r="C575" s="1" t="n">
        <v>45788</v>
      </c>
      <c r="D575" t="inlineStr">
        <is>
          <t>VÄSTERBOTTENS LÄN</t>
        </is>
      </c>
      <c r="E575" t="inlineStr">
        <is>
          <t>VINDELN</t>
        </is>
      </c>
      <c r="G575" t="n">
        <v>11.1</v>
      </c>
      <c r="H575" t="n">
        <v>1</v>
      </c>
      <c r="I575" t="n">
        <v>0</v>
      </c>
      <c r="J575" t="n">
        <v>4</v>
      </c>
      <c r="K575" t="n">
        <v>0</v>
      </c>
      <c r="L575" t="n">
        <v>0</v>
      </c>
      <c r="M575" t="n">
        <v>0</v>
      </c>
      <c r="N575" t="n">
        <v>0</v>
      </c>
      <c r="O575" t="n">
        <v>4</v>
      </c>
      <c r="P575" t="n">
        <v>0</v>
      </c>
      <c r="Q575" t="n">
        <v>4</v>
      </c>
      <c r="R575" s="2" t="inlineStr">
        <is>
          <t>Granticka
Spillkråka
Ullticka
Violettgrå tagellav</t>
        </is>
      </c>
      <c r="S575">
        <f>HYPERLINK("https://klasma.github.io/Logging_2404/artfynd/A 56894-2020 artfynd.xlsx", "A 56894-2020")</f>
        <v/>
      </c>
      <c r="T575">
        <f>HYPERLINK("https://klasma.github.io/Logging_2404/kartor/A 56894-2020 karta.png", "A 56894-2020")</f>
        <v/>
      </c>
      <c r="V575">
        <f>HYPERLINK("https://klasma.github.io/Logging_2404/klagomål/A 56894-2020 FSC-klagomål.docx", "A 56894-2020")</f>
        <v/>
      </c>
      <c r="W575">
        <f>HYPERLINK("https://klasma.github.io/Logging_2404/klagomålsmail/A 56894-2020 FSC-klagomål mail.docx", "A 56894-2020")</f>
        <v/>
      </c>
      <c r="X575">
        <f>HYPERLINK("https://klasma.github.io/Logging_2404/tillsyn/A 56894-2020 tillsynsbegäran.docx", "A 56894-2020")</f>
        <v/>
      </c>
      <c r="Y575">
        <f>HYPERLINK("https://klasma.github.io/Logging_2404/tillsynsmail/A 56894-2020 tillsynsbegäran mail.docx", "A 56894-2020")</f>
        <v/>
      </c>
      <c r="Z575">
        <f>HYPERLINK("https://klasma.github.io/Logging_2404/fåglar/A 56894-2020 prioriterade fågelarter.docx", "A 56894-2020")</f>
        <v/>
      </c>
    </row>
    <row r="576" ht="15" customHeight="1">
      <c r="A576" t="inlineStr">
        <is>
          <t>A 59408-2020</t>
        </is>
      </c>
      <c r="B576" s="1" t="n">
        <v>44147</v>
      </c>
      <c r="C576" s="1" t="n">
        <v>45788</v>
      </c>
      <c r="D576" t="inlineStr">
        <is>
          <t>VÄSTERBOTTENS LÄN</t>
        </is>
      </c>
      <c r="E576" t="inlineStr">
        <is>
          <t>SKELLEFTEÅ</t>
        </is>
      </c>
      <c r="G576" t="n">
        <v>2.1</v>
      </c>
      <c r="H576" t="n">
        <v>4</v>
      </c>
      <c r="I576" t="n">
        <v>0</v>
      </c>
      <c r="J576" t="n">
        <v>3</v>
      </c>
      <c r="K576" t="n">
        <v>0</v>
      </c>
      <c r="L576" t="n">
        <v>0</v>
      </c>
      <c r="M576" t="n">
        <v>0</v>
      </c>
      <c r="N576" t="n">
        <v>0</v>
      </c>
      <c r="O576" t="n">
        <v>3</v>
      </c>
      <c r="P576" t="n">
        <v>0</v>
      </c>
      <c r="Q576" t="n">
        <v>4</v>
      </c>
      <c r="R576" s="2" t="inlineStr">
        <is>
          <t>Buskskvätta
Gulsparv
Havsörn
Törnskata</t>
        </is>
      </c>
      <c r="S576">
        <f>HYPERLINK("https://klasma.github.io/Logging_2482/artfynd/A 59408-2020 artfynd.xlsx", "A 59408-2020")</f>
        <v/>
      </c>
      <c r="T576">
        <f>HYPERLINK("https://klasma.github.io/Logging_2482/kartor/A 59408-2020 karta.png", "A 59408-2020")</f>
        <v/>
      </c>
      <c r="V576">
        <f>HYPERLINK("https://klasma.github.io/Logging_2482/klagomål/A 59408-2020 FSC-klagomål.docx", "A 59408-2020")</f>
        <v/>
      </c>
      <c r="W576">
        <f>HYPERLINK("https://klasma.github.io/Logging_2482/klagomålsmail/A 59408-2020 FSC-klagomål mail.docx", "A 59408-2020")</f>
        <v/>
      </c>
      <c r="X576">
        <f>HYPERLINK("https://klasma.github.io/Logging_2482/tillsyn/A 59408-2020 tillsynsbegäran.docx", "A 59408-2020")</f>
        <v/>
      </c>
      <c r="Y576">
        <f>HYPERLINK("https://klasma.github.io/Logging_2482/tillsynsmail/A 59408-2020 tillsynsbegäran mail.docx", "A 59408-2020")</f>
        <v/>
      </c>
      <c r="Z576">
        <f>HYPERLINK("https://klasma.github.io/Logging_2482/fåglar/A 59408-2020 prioriterade fågelarter.docx", "A 59408-2020")</f>
        <v/>
      </c>
    </row>
    <row r="577" ht="15" customHeight="1">
      <c r="A577" t="inlineStr">
        <is>
          <t>A 68169-2020</t>
        </is>
      </c>
      <c r="B577" s="1" t="n">
        <v>44183</v>
      </c>
      <c r="C577" s="1" t="n">
        <v>45788</v>
      </c>
      <c r="D577" t="inlineStr">
        <is>
          <t>VÄSTERBOTTENS LÄN</t>
        </is>
      </c>
      <c r="E577" t="inlineStr">
        <is>
          <t>SKELLEFTEÅ</t>
        </is>
      </c>
      <c r="F577" t="inlineStr">
        <is>
          <t>Sveaskog</t>
        </is>
      </c>
      <c r="G577" t="n">
        <v>7.6</v>
      </c>
      <c r="H577" t="n">
        <v>2</v>
      </c>
      <c r="I577" t="n">
        <v>1</v>
      </c>
      <c r="J577" t="n">
        <v>2</v>
      </c>
      <c r="K577" t="n">
        <v>0</v>
      </c>
      <c r="L577" t="n">
        <v>0</v>
      </c>
      <c r="M577" t="n">
        <v>0</v>
      </c>
      <c r="N577" t="n">
        <v>0</v>
      </c>
      <c r="O577" t="n">
        <v>2</v>
      </c>
      <c r="P577" t="n">
        <v>0</v>
      </c>
      <c r="Q577" t="n">
        <v>4</v>
      </c>
      <c r="R577" s="2" t="inlineStr">
        <is>
          <t>Garnlav
Spillkråka
Vedticka
Fläcknycklar</t>
        </is>
      </c>
      <c r="S577">
        <f>HYPERLINK("https://klasma.github.io/Logging_2482/artfynd/A 68169-2020 artfynd.xlsx", "A 68169-2020")</f>
        <v/>
      </c>
      <c r="T577">
        <f>HYPERLINK("https://klasma.github.io/Logging_2482/kartor/A 68169-2020 karta.png", "A 68169-2020")</f>
        <v/>
      </c>
      <c r="V577">
        <f>HYPERLINK("https://klasma.github.io/Logging_2482/klagomål/A 68169-2020 FSC-klagomål.docx", "A 68169-2020")</f>
        <v/>
      </c>
      <c r="W577">
        <f>HYPERLINK("https://klasma.github.io/Logging_2482/klagomålsmail/A 68169-2020 FSC-klagomål mail.docx", "A 68169-2020")</f>
        <v/>
      </c>
      <c r="X577">
        <f>HYPERLINK("https://klasma.github.io/Logging_2482/tillsyn/A 68169-2020 tillsynsbegäran.docx", "A 68169-2020")</f>
        <v/>
      </c>
      <c r="Y577">
        <f>HYPERLINK("https://klasma.github.io/Logging_2482/tillsynsmail/A 68169-2020 tillsynsbegäran mail.docx", "A 68169-2020")</f>
        <v/>
      </c>
      <c r="Z577">
        <f>HYPERLINK("https://klasma.github.io/Logging_2482/fåglar/A 68169-2020 prioriterade fågelarter.docx", "A 68169-2020")</f>
        <v/>
      </c>
    </row>
    <row r="578" ht="15" customHeight="1">
      <c r="A578" t="inlineStr">
        <is>
          <t>A 68511-2020</t>
        </is>
      </c>
      <c r="B578" s="1" t="n">
        <v>44186</v>
      </c>
      <c r="C578" s="1" t="n">
        <v>45788</v>
      </c>
      <c r="D578" t="inlineStr">
        <is>
          <t>VÄSTERBOTTENS LÄN</t>
        </is>
      </c>
      <c r="E578" t="inlineStr">
        <is>
          <t>SKELLEFTEÅ</t>
        </is>
      </c>
      <c r="F578" t="inlineStr">
        <is>
          <t>Sveaskog</t>
        </is>
      </c>
      <c r="G578" t="n">
        <v>16.9</v>
      </c>
      <c r="H578" t="n">
        <v>0</v>
      </c>
      <c r="I578" t="n">
        <v>1</v>
      </c>
      <c r="J578" t="n">
        <v>3</v>
      </c>
      <c r="K578" t="n">
        <v>0</v>
      </c>
      <c r="L578" t="n">
        <v>0</v>
      </c>
      <c r="M578" t="n">
        <v>0</v>
      </c>
      <c r="N578" t="n">
        <v>0</v>
      </c>
      <c r="O578" t="n">
        <v>3</v>
      </c>
      <c r="P578" t="n">
        <v>0</v>
      </c>
      <c r="Q578" t="n">
        <v>4</v>
      </c>
      <c r="R578" s="2" t="inlineStr">
        <is>
          <t>Garnlav
Lunglav
Violettgrå tagellav
Stuplav</t>
        </is>
      </c>
      <c r="S578">
        <f>HYPERLINK("https://klasma.github.io/Logging_2482/artfynd/A 68511-2020 artfynd.xlsx", "A 68511-2020")</f>
        <v/>
      </c>
      <c r="T578">
        <f>HYPERLINK("https://klasma.github.io/Logging_2482/kartor/A 68511-2020 karta.png", "A 68511-2020")</f>
        <v/>
      </c>
      <c r="V578">
        <f>HYPERLINK("https://klasma.github.io/Logging_2482/klagomål/A 68511-2020 FSC-klagomål.docx", "A 68511-2020")</f>
        <v/>
      </c>
      <c r="W578">
        <f>HYPERLINK("https://klasma.github.io/Logging_2482/klagomålsmail/A 68511-2020 FSC-klagomål mail.docx", "A 68511-2020")</f>
        <v/>
      </c>
      <c r="X578">
        <f>HYPERLINK("https://klasma.github.io/Logging_2482/tillsyn/A 68511-2020 tillsynsbegäran.docx", "A 68511-2020")</f>
        <v/>
      </c>
      <c r="Y578">
        <f>HYPERLINK("https://klasma.github.io/Logging_2482/tillsynsmail/A 68511-2020 tillsynsbegäran mail.docx", "A 68511-2020")</f>
        <v/>
      </c>
    </row>
    <row r="579" ht="15" customHeight="1">
      <c r="A579" t="inlineStr">
        <is>
          <t>A 900-2021</t>
        </is>
      </c>
      <c r="B579" s="1" t="n">
        <v>44206</v>
      </c>
      <c r="C579" s="1" t="n">
        <v>45788</v>
      </c>
      <c r="D579" t="inlineStr">
        <is>
          <t>VÄSTERBOTTENS LÄN</t>
        </is>
      </c>
      <c r="E579" t="inlineStr">
        <is>
          <t>VILHELMINA</t>
        </is>
      </c>
      <c r="F579" t="inlineStr">
        <is>
          <t>SCA</t>
        </is>
      </c>
      <c r="G579" t="n">
        <v>2.3</v>
      </c>
      <c r="H579" t="n">
        <v>0</v>
      </c>
      <c r="I579" t="n">
        <v>3</v>
      </c>
      <c r="J579" t="n">
        <v>1</v>
      </c>
      <c r="K579" t="n">
        <v>0</v>
      </c>
      <c r="L579" t="n">
        <v>0</v>
      </c>
      <c r="M579" t="n">
        <v>0</v>
      </c>
      <c r="N579" t="n">
        <v>0</v>
      </c>
      <c r="O579" t="n">
        <v>1</v>
      </c>
      <c r="P579" t="n">
        <v>0</v>
      </c>
      <c r="Q579" t="n">
        <v>4</v>
      </c>
      <c r="R579" s="2" t="inlineStr">
        <is>
          <t>Lunglav
Bårdlav
Strutbräken
Stuplav</t>
        </is>
      </c>
      <c r="S579">
        <f>HYPERLINK("https://klasma.github.io/Logging_2462/artfynd/A 900-2021 artfynd.xlsx", "A 900-2021")</f>
        <v/>
      </c>
      <c r="T579">
        <f>HYPERLINK("https://klasma.github.io/Logging_2462/kartor/A 900-2021 karta.png", "A 900-2021")</f>
        <v/>
      </c>
      <c r="V579">
        <f>HYPERLINK("https://klasma.github.io/Logging_2462/klagomål/A 900-2021 FSC-klagomål.docx", "A 900-2021")</f>
        <v/>
      </c>
      <c r="W579">
        <f>HYPERLINK("https://klasma.github.io/Logging_2462/klagomålsmail/A 900-2021 FSC-klagomål mail.docx", "A 900-2021")</f>
        <v/>
      </c>
      <c r="X579">
        <f>HYPERLINK("https://klasma.github.io/Logging_2462/tillsyn/A 900-2021 tillsynsbegäran.docx", "A 900-2021")</f>
        <v/>
      </c>
      <c r="Y579">
        <f>HYPERLINK("https://klasma.github.io/Logging_2462/tillsynsmail/A 900-2021 tillsynsbegäran mail.docx", "A 900-2021")</f>
        <v/>
      </c>
    </row>
    <row r="580" ht="15" customHeight="1">
      <c r="A580" t="inlineStr">
        <is>
          <t>A 2776-2021</t>
        </is>
      </c>
      <c r="B580" s="1" t="n">
        <v>44215</v>
      </c>
      <c r="C580" s="1" t="n">
        <v>45788</v>
      </c>
      <c r="D580" t="inlineStr">
        <is>
          <t>VÄSTERBOTTENS LÄN</t>
        </is>
      </c>
      <c r="E580" t="inlineStr">
        <is>
          <t>SKELLEFTEÅ</t>
        </is>
      </c>
      <c r="F580" t="inlineStr">
        <is>
          <t>Sveaskog</t>
        </is>
      </c>
      <c r="G580" t="n">
        <v>4.4</v>
      </c>
      <c r="H580" t="n">
        <v>0</v>
      </c>
      <c r="I580" t="n">
        <v>1</v>
      </c>
      <c r="J580" t="n">
        <v>3</v>
      </c>
      <c r="K580" t="n">
        <v>0</v>
      </c>
      <c r="L580" t="n">
        <v>0</v>
      </c>
      <c r="M580" t="n">
        <v>0</v>
      </c>
      <c r="N580" t="n">
        <v>0</v>
      </c>
      <c r="O580" t="n">
        <v>3</v>
      </c>
      <c r="P580" t="n">
        <v>0</v>
      </c>
      <c r="Q580" t="n">
        <v>4</v>
      </c>
      <c r="R580" s="2" t="inlineStr">
        <is>
          <t>Garnlav
Granticka
Lunglav
Bårdlav</t>
        </is>
      </c>
      <c r="S580">
        <f>HYPERLINK("https://klasma.github.io/Logging_2482/artfynd/A 2776-2021 artfynd.xlsx", "A 2776-2021")</f>
        <v/>
      </c>
      <c r="T580">
        <f>HYPERLINK("https://klasma.github.io/Logging_2482/kartor/A 2776-2021 karta.png", "A 2776-2021")</f>
        <v/>
      </c>
      <c r="V580">
        <f>HYPERLINK("https://klasma.github.io/Logging_2482/klagomål/A 2776-2021 FSC-klagomål.docx", "A 2776-2021")</f>
        <v/>
      </c>
      <c r="W580">
        <f>HYPERLINK("https://klasma.github.io/Logging_2482/klagomålsmail/A 2776-2021 FSC-klagomål mail.docx", "A 2776-2021")</f>
        <v/>
      </c>
      <c r="X580">
        <f>HYPERLINK("https://klasma.github.io/Logging_2482/tillsyn/A 2776-2021 tillsynsbegäran.docx", "A 2776-2021")</f>
        <v/>
      </c>
      <c r="Y580">
        <f>HYPERLINK("https://klasma.github.io/Logging_2482/tillsynsmail/A 2776-2021 tillsynsbegäran mail.docx", "A 2776-2021")</f>
        <v/>
      </c>
    </row>
    <row r="581" ht="15" customHeight="1">
      <c r="A581" t="inlineStr">
        <is>
          <t>A 7607-2021</t>
        </is>
      </c>
      <c r="B581" s="1" t="n">
        <v>44242</v>
      </c>
      <c r="C581" s="1" t="n">
        <v>45788</v>
      </c>
      <c r="D581" t="inlineStr">
        <is>
          <t>VÄSTERBOTTENS LÄN</t>
        </is>
      </c>
      <c r="E581" t="inlineStr">
        <is>
          <t>SKELLEFTEÅ</t>
        </is>
      </c>
      <c r="G581" t="n">
        <v>2.3</v>
      </c>
      <c r="H581" t="n">
        <v>1</v>
      </c>
      <c r="I581" t="n">
        <v>2</v>
      </c>
      <c r="J581" t="n">
        <v>1</v>
      </c>
      <c r="K581" t="n">
        <v>0</v>
      </c>
      <c r="L581" t="n">
        <v>0</v>
      </c>
      <c r="M581" t="n">
        <v>0</v>
      </c>
      <c r="N581" t="n">
        <v>0</v>
      </c>
      <c r="O581" t="n">
        <v>1</v>
      </c>
      <c r="P581" t="n">
        <v>0</v>
      </c>
      <c r="Q581" t="n">
        <v>4</v>
      </c>
      <c r="R581" s="2" t="inlineStr">
        <is>
          <t>Granticka
Norrlandslav
Stuplav
Revlummer</t>
        </is>
      </c>
      <c r="S581">
        <f>HYPERLINK("https://klasma.github.io/Logging_2482/artfynd/A 7607-2021 artfynd.xlsx", "A 7607-2021")</f>
        <v/>
      </c>
      <c r="T581">
        <f>HYPERLINK("https://klasma.github.io/Logging_2482/kartor/A 7607-2021 karta.png", "A 7607-2021")</f>
        <v/>
      </c>
      <c r="V581">
        <f>HYPERLINK("https://klasma.github.io/Logging_2482/klagomål/A 7607-2021 FSC-klagomål.docx", "A 7607-2021")</f>
        <v/>
      </c>
      <c r="W581">
        <f>HYPERLINK("https://klasma.github.io/Logging_2482/klagomålsmail/A 7607-2021 FSC-klagomål mail.docx", "A 7607-2021")</f>
        <v/>
      </c>
      <c r="X581">
        <f>HYPERLINK("https://klasma.github.io/Logging_2482/tillsyn/A 7607-2021 tillsynsbegäran.docx", "A 7607-2021")</f>
        <v/>
      </c>
      <c r="Y581">
        <f>HYPERLINK("https://klasma.github.io/Logging_2482/tillsynsmail/A 7607-2021 tillsynsbegäran mail.docx", "A 7607-2021")</f>
        <v/>
      </c>
    </row>
    <row r="582" ht="15" customHeight="1">
      <c r="A582" t="inlineStr">
        <is>
          <t>A 16687-2021</t>
        </is>
      </c>
      <c r="B582" s="1" t="n">
        <v>44295</v>
      </c>
      <c r="C582" s="1" t="n">
        <v>45788</v>
      </c>
      <c r="D582" t="inlineStr">
        <is>
          <t>VÄSTERBOTTENS LÄN</t>
        </is>
      </c>
      <c r="E582" t="inlineStr">
        <is>
          <t>SORSELE</t>
        </is>
      </c>
      <c r="F582" t="inlineStr">
        <is>
          <t>Övriga statliga verk och myndigheter</t>
        </is>
      </c>
      <c r="G582" t="n">
        <v>19.7</v>
      </c>
      <c r="H582" t="n">
        <v>0</v>
      </c>
      <c r="I582" t="n">
        <v>0</v>
      </c>
      <c r="J582" t="n">
        <v>4</v>
      </c>
      <c r="K582" t="n">
        <v>0</v>
      </c>
      <c r="L582" t="n">
        <v>0</v>
      </c>
      <c r="M582" t="n">
        <v>0</v>
      </c>
      <c r="N582" t="n">
        <v>0</v>
      </c>
      <c r="O582" t="n">
        <v>4</v>
      </c>
      <c r="P582" t="n">
        <v>0</v>
      </c>
      <c r="Q582" t="n">
        <v>4</v>
      </c>
      <c r="R582" s="2" t="inlineStr">
        <is>
          <t>Brunpudrad nållav
Gammelgransskål
Garnlav
Granticka</t>
        </is>
      </c>
      <c r="S582">
        <f>HYPERLINK("https://klasma.github.io/Logging_2422/artfynd/A 16687-2021 artfynd.xlsx", "A 16687-2021")</f>
        <v/>
      </c>
      <c r="T582">
        <f>HYPERLINK("https://klasma.github.io/Logging_2422/kartor/A 16687-2021 karta.png", "A 16687-2021")</f>
        <v/>
      </c>
      <c r="V582">
        <f>HYPERLINK("https://klasma.github.io/Logging_2422/klagomål/A 16687-2021 FSC-klagomål.docx", "A 16687-2021")</f>
        <v/>
      </c>
      <c r="W582">
        <f>HYPERLINK("https://klasma.github.io/Logging_2422/klagomålsmail/A 16687-2021 FSC-klagomål mail.docx", "A 16687-2021")</f>
        <v/>
      </c>
      <c r="X582">
        <f>HYPERLINK("https://klasma.github.io/Logging_2422/tillsyn/A 16687-2021 tillsynsbegäran.docx", "A 16687-2021")</f>
        <v/>
      </c>
      <c r="Y582">
        <f>HYPERLINK("https://klasma.github.io/Logging_2422/tillsynsmail/A 16687-2021 tillsynsbegäran mail.docx", "A 16687-2021")</f>
        <v/>
      </c>
    </row>
    <row r="583" ht="15" customHeight="1">
      <c r="A583" t="inlineStr">
        <is>
          <t>A 21628-2021</t>
        </is>
      </c>
      <c r="B583" s="1" t="n">
        <v>44322</v>
      </c>
      <c r="C583" s="1" t="n">
        <v>45788</v>
      </c>
      <c r="D583" t="inlineStr">
        <is>
          <t>VÄSTERBOTTENS LÄN</t>
        </is>
      </c>
      <c r="E583" t="inlineStr">
        <is>
          <t>UMEÅ</t>
        </is>
      </c>
      <c r="G583" t="n">
        <v>4</v>
      </c>
      <c r="H583" t="n">
        <v>2</v>
      </c>
      <c r="I583" t="n">
        <v>0</v>
      </c>
      <c r="J583" t="n">
        <v>3</v>
      </c>
      <c r="K583" t="n">
        <v>0</v>
      </c>
      <c r="L583" t="n">
        <v>0</v>
      </c>
      <c r="M583" t="n">
        <v>0</v>
      </c>
      <c r="N583" t="n">
        <v>0</v>
      </c>
      <c r="O583" t="n">
        <v>3</v>
      </c>
      <c r="P583" t="n">
        <v>0</v>
      </c>
      <c r="Q583" t="n">
        <v>4</v>
      </c>
      <c r="R583" s="2" t="inlineStr">
        <is>
          <t>Garnlav
Granticka
Spillkråka
Revlummer</t>
        </is>
      </c>
      <c r="S583">
        <f>HYPERLINK("https://klasma.github.io/Logging_2480/artfynd/A 21628-2021 artfynd.xlsx", "A 21628-2021")</f>
        <v/>
      </c>
      <c r="T583">
        <f>HYPERLINK("https://klasma.github.io/Logging_2480/kartor/A 21628-2021 karta.png", "A 21628-2021")</f>
        <v/>
      </c>
      <c r="V583">
        <f>HYPERLINK("https://klasma.github.io/Logging_2480/klagomål/A 21628-2021 FSC-klagomål.docx", "A 21628-2021")</f>
        <v/>
      </c>
      <c r="W583">
        <f>HYPERLINK("https://klasma.github.io/Logging_2480/klagomålsmail/A 21628-2021 FSC-klagomål mail.docx", "A 21628-2021")</f>
        <v/>
      </c>
      <c r="X583">
        <f>HYPERLINK("https://klasma.github.io/Logging_2480/tillsyn/A 21628-2021 tillsynsbegäran.docx", "A 21628-2021")</f>
        <v/>
      </c>
      <c r="Y583">
        <f>HYPERLINK("https://klasma.github.io/Logging_2480/tillsynsmail/A 21628-2021 tillsynsbegäran mail.docx", "A 21628-2021")</f>
        <v/>
      </c>
      <c r="Z583">
        <f>HYPERLINK("https://klasma.github.io/Logging_2480/fåglar/A 21628-2021 prioriterade fågelarter.docx", "A 21628-2021")</f>
        <v/>
      </c>
    </row>
    <row r="584" ht="15" customHeight="1">
      <c r="A584" t="inlineStr">
        <is>
          <t>A 38686-2021</t>
        </is>
      </c>
      <c r="B584" s="1" t="n">
        <v>44407</v>
      </c>
      <c r="C584" s="1" t="n">
        <v>45788</v>
      </c>
      <c r="D584" t="inlineStr">
        <is>
          <t>VÄSTERBOTTENS LÄN</t>
        </is>
      </c>
      <c r="E584" t="inlineStr">
        <is>
          <t>UMEÅ</t>
        </is>
      </c>
      <c r="F584" t="inlineStr">
        <is>
          <t>Kommuner</t>
        </is>
      </c>
      <c r="G584" t="n">
        <v>1.1</v>
      </c>
      <c r="H584" t="n">
        <v>3</v>
      </c>
      <c r="I584" t="n">
        <v>1</v>
      </c>
      <c r="J584" t="n">
        <v>1</v>
      </c>
      <c r="K584" t="n">
        <v>0</v>
      </c>
      <c r="L584" t="n">
        <v>0</v>
      </c>
      <c r="M584" t="n">
        <v>0</v>
      </c>
      <c r="N584" t="n">
        <v>0</v>
      </c>
      <c r="O584" t="n">
        <v>1</v>
      </c>
      <c r="P584" t="n">
        <v>0</v>
      </c>
      <c r="Q584" t="n">
        <v>4</v>
      </c>
      <c r="R584" s="2" t="inlineStr">
        <is>
          <t>Björktrast
Gullgröppa
Skogsödla
Vanlig padda</t>
        </is>
      </c>
      <c r="S584">
        <f>HYPERLINK("https://klasma.github.io/Logging_2480/artfynd/A 38686-2021 artfynd.xlsx", "A 38686-2021")</f>
        <v/>
      </c>
      <c r="T584">
        <f>HYPERLINK("https://klasma.github.io/Logging_2480/kartor/A 38686-2021 karta.png", "A 38686-2021")</f>
        <v/>
      </c>
      <c r="V584">
        <f>HYPERLINK("https://klasma.github.io/Logging_2480/klagomål/A 38686-2021 FSC-klagomål.docx", "A 38686-2021")</f>
        <v/>
      </c>
      <c r="W584">
        <f>HYPERLINK("https://klasma.github.io/Logging_2480/klagomålsmail/A 38686-2021 FSC-klagomål mail.docx", "A 38686-2021")</f>
        <v/>
      </c>
      <c r="X584">
        <f>HYPERLINK("https://klasma.github.io/Logging_2480/tillsyn/A 38686-2021 tillsynsbegäran.docx", "A 38686-2021")</f>
        <v/>
      </c>
      <c r="Y584">
        <f>HYPERLINK("https://klasma.github.io/Logging_2480/tillsynsmail/A 38686-2021 tillsynsbegäran mail.docx", "A 38686-2021")</f>
        <v/>
      </c>
      <c r="Z584">
        <f>HYPERLINK("https://klasma.github.io/Logging_2480/fåglar/A 38686-2021 prioriterade fågelarter.docx", "A 38686-2021")</f>
        <v/>
      </c>
    </row>
    <row r="585" ht="15" customHeight="1">
      <c r="A585" t="inlineStr">
        <is>
          <t>A 38688-2021</t>
        </is>
      </c>
      <c r="B585" s="1" t="n">
        <v>44407</v>
      </c>
      <c r="C585" s="1" t="n">
        <v>45788</v>
      </c>
      <c r="D585" t="inlineStr">
        <is>
          <t>VÄSTERBOTTENS LÄN</t>
        </is>
      </c>
      <c r="E585" t="inlineStr">
        <is>
          <t>UMEÅ</t>
        </is>
      </c>
      <c r="F585" t="inlineStr">
        <is>
          <t>Kommuner</t>
        </is>
      </c>
      <c r="G585" t="n">
        <v>1.6</v>
      </c>
      <c r="H585" t="n">
        <v>1</v>
      </c>
      <c r="I585" t="n">
        <v>2</v>
      </c>
      <c r="J585" t="n">
        <v>1</v>
      </c>
      <c r="K585" t="n">
        <v>0</v>
      </c>
      <c r="L585" t="n">
        <v>0</v>
      </c>
      <c r="M585" t="n">
        <v>0</v>
      </c>
      <c r="N585" t="n">
        <v>0</v>
      </c>
      <c r="O585" t="n">
        <v>1</v>
      </c>
      <c r="P585" t="n">
        <v>0</v>
      </c>
      <c r="Q585" t="n">
        <v>4</v>
      </c>
      <c r="R585" s="2" t="inlineStr">
        <is>
          <t>Älvstarr
Köseven
Strutbräken
Blåsippa</t>
        </is>
      </c>
      <c r="S585">
        <f>HYPERLINK("https://klasma.github.io/Logging_2480/artfynd/A 38688-2021 artfynd.xlsx", "A 38688-2021")</f>
        <v/>
      </c>
      <c r="T585">
        <f>HYPERLINK("https://klasma.github.io/Logging_2480/kartor/A 38688-2021 karta.png", "A 38688-2021")</f>
        <v/>
      </c>
      <c r="V585">
        <f>HYPERLINK("https://klasma.github.io/Logging_2480/klagomål/A 38688-2021 FSC-klagomål.docx", "A 38688-2021")</f>
        <v/>
      </c>
      <c r="W585">
        <f>HYPERLINK("https://klasma.github.io/Logging_2480/klagomålsmail/A 38688-2021 FSC-klagomål mail.docx", "A 38688-2021")</f>
        <v/>
      </c>
      <c r="X585">
        <f>HYPERLINK("https://klasma.github.io/Logging_2480/tillsyn/A 38688-2021 tillsynsbegäran.docx", "A 38688-2021")</f>
        <v/>
      </c>
      <c r="Y585">
        <f>HYPERLINK("https://klasma.github.io/Logging_2480/tillsynsmail/A 38688-2021 tillsynsbegäran mail.docx", "A 38688-2021")</f>
        <v/>
      </c>
    </row>
    <row r="586" ht="15" customHeight="1">
      <c r="A586" t="inlineStr">
        <is>
          <t>A 43740-2021</t>
        </is>
      </c>
      <c r="B586" s="1" t="n">
        <v>44433</v>
      </c>
      <c r="C586" s="1" t="n">
        <v>45788</v>
      </c>
      <c r="D586" t="inlineStr">
        <is>
          <t>VÄSTERBOTTENS LÄN</t>
        </is>
      </c>
      <c r="E586" t="inlineStr">
        <is>
          <t>LYCKSELE</t>
        </is>
      </c>
      <c r="F586" t="inlineStr">
        <is>
          <t>Sveaskog</t>
        </is>
      </c>
      <c r="G586" t="n">
        <v>16.2</v>
      </c>
      <c r="H586" t="n">
        <v>0</v>
      </c>
      <c r="I586" t="n">
        <v>1</v>
      </c>
      <c r="J586" t="n">
        <v>3</v>
      </c>
      <c r="K586" t="n">
        <v>0</v>
      </c>
      <c r="L586" t="n">
        <v>0</v>
      </c>
      <c r="M586" t="n">
        <v>0</v>
      </c>
      <c r="N586" t="n">
        <v>0</v>
      </c>
      <c r="O586" t="n">
        <v>3</v>
      </c>
      <c r="P586" t="n">
        <v>0</v>
      </c>
      <c r="Q586" t="n">
        <v>4</v>
      </c>
      <c r="R586" s="2" t="inlineStr">
        <is>
          <t>Garnlav
Kolflarnlav
Lunglav
Bårdlav</t>
        </is>
      </c>
      <c r="S586">
        <f>HYPERLINK("https://klasma.github.io/Logging_2481/artfynd/A 43740-2021 artfynd.xlsx", "A 43740-2021")</f>
        <v/>
      </c>
      <c r="T586">
        <f>HYPERLINK("https://klasma.github.io/Logging_2481/kartor/A 43740-2021 karta.png", "A 43740-2021")</f>
        <v/>
      </c>
      <c r="V586">
        <f>HYPERLINK("https://klasma.github.io/Logging_2481/klagomål/A 43740-2021 FSC-klagomål.docx", "A 43740-2021")</f>
        <v/>
      </c>
      <c r="W586">
        <f>HYPERLINK("https://klasma.github.io/Logging_2481/klagomålsmail/A 43740-2021 FSC-klagomål mail.docx", "A 43740-2021")</f>
        <v/>
      </c>
      <c r="X586">
        <f>HYPERLINK("https://klasma.github.io/Logging_2481/tillsyn/A 43740-2021 tillsynsbegäran.docx", "A 43740-2021")</f>
        <v/>
      </c>
      <c r="Y586">
        <f>HYPERLINK("https://klasma.github.io/Logging_2481/tillsynsmail/A 43740-2021 tillsynsbegäran mail.docx", "A 43740-2021")</f>
        <v/>
      </c>
    </row>
    <row r="587" ht="15" customHeight="1">
      <c r="A587" t="inlineStr">
        <is>
          <t>A 48339-2021</t>
        </is>
      </c>
      <c r="B587" s="1" t="n">
        <v>44451</v>
      </c>
      <c r="C587" s="1" t="n">
        <v>45788</v>
      </c>
      <c r="D587" t="inlineStr">
        <is>
          <t>VÄSTERBOTTENS LÄN</t>
        </is>
      </c>
      <c r="E587" t="inlineStr">
        <is>
          <t>STORUMAN</t>
        </is>
      </c>
      <c r="F587" t="inlineStr">
        <is>
          <t>Sveaskog</t>
        </is>
      </c>
      <c r="G587" t="n">
        <v>4</v>
      </c>
      <c r="H587" t="n">
        <v>2</v>
      </c>
      <c r="I587" t="n">
        <v>1</v>
      </c>
      <c r="J587" t="n">
        <v>2</v>
      </c>
      <c r="K587" t="n">
        <v>0</v>
      </c>
      <c r="L587" t="n">
        <v>0</v>
      </c>
      <c r="M587" t="n">
        <v>0</v>
      </c>
      <c r="N587" t="n">
        <v>0</v>
      </c>
      <c r="O587" t="n">
        <v>2</v>
      </c>
      <c r="P587" t="n">
        <v>0</v>
      </c>
      <c r="Q587" t="n">
        <v>4</v>
      </c>
      <c r="R587" s="2" t="inlineStr">
        <is>
          <t>Garnlav
Skrovellav
Spindelblomster
Fläcknycklar</t>
        </is>
      </c>
      <c r="S587">
        <f>HYPERLINK("https://klasma.github.io/Logging_2421/artfynd/A 48339-2021 artfynd.xlsx", "A 48339-2021")</f>
        <v/>
      </c>
      <c r="T587">
        <f>HYPERLINK("https://klasma.github.io/Logging_2421/kartor/A 48339-2021 karta.png", "A 48339-2021")</f>
        <v/>
      </c>
      <c r="V587">
        <f>HYPERLINK("https://klasma.github.io/Logging_2421/klagomål/A 48339-2021 FSC-klagomål.docx", "A 48339-2021")</f>
        <v/>
      </c>
      <c r="W587">
        <f>HYPERLINK("https://klasma.github.io/Logging_2421/klagomålsmail/A 48339-2021 FSC-klagomål mail.docx", "A 48339-2021")</f>
        <v/>
      </c>
      <c r="X587">
        <f>HYPERLINK("https://klasma.github.io/Logging_2421/tillsyn/A 48339-2021 tillsynsbegäran.docx", "A 48339-2021")</f>
        <v/>
      </c>
      <c r="Y587">
        <f>HYPERLINK("https://klasma.github.io/Logging_2421/tillsynsmail/A 48339-2021 tillsynsbegäran mail.docx", "A 48339-2021")</f>
        <v/>
      </c>
    </row>
    <row r="588" ht="15" customHeight="1">
      <c r="A588" t="inlineStr">
        <is>
          <t>A 54434-2021</t>
        </is>
      </c>
      <c r="B588" s="1" t="n">
        <v>44473</v>
      </c>
      <c r="C588" s="1" t="n">
        <v>45788</v>
      </c>
      <c r="D588" t="inlineStr">
        <is>
          <t>VÄSTERBOTTENS LÄN</t>
        </is>
      </c>
      <c r="E588" t="inlineStr">
        <is>
          <t>LYCKSELE</t>
        </is>
      </c>
      <c r="F588" t="inlineStr">
        <is>
          <t>Sveaskog</t>
        </is>
      </c>
      <c r="G588" t="n">
        <v>20.5</v>
      </c>
      <c r="H588" t="n">
        <v>0</v>
      </c>
      <c r="I588" t="n">
        <v>0</v>
      </c>
      <c r="J588" t="n">
        <v>3</v>
      </c>
      <c r="K588" t="n">
        <v>1</v>
      </c>
      <c r="L588" t="n">
        <v>0</v>
      </c>
      <c r="M588" t="n">
        <v>0</v>
      </c>
      <c r="N588" t="n">
        <v>0</v>
      </c>
      <c r="O588" t="n">
        <v>4</v>
      </c>
      <c r="P588" t="n">
        <v>1</v>
      </c>
      <c r="Q588" t="n">
        <v>4</v>
      </c>
      <c r="R588" s="2" t="inlineStr">
        <is>
          <t>Rynkskinn
Doftskinn
Garnlav
Lunglav</t>
        </is>
      </c>
      <c r="S588">
        <f>HYPERLINK("https://klasma.github.io/Logging_2481/artfynd/A 54434-2021 artfynd.xlsx", "A 54434-2021")</f>
        <v/>
      </c>
      <c r="T588">
        <f>HYPERLINK("https://klasma.github.io/Logging_2481/kartor/A 54434-2021 karta.png", "A 54434-2021")</f>
        <v/>
      </c>
      <c r="V588">
        <f>HYPERLINK("https://klasma.github.io/Logging_2481/klagomål/A 54434-2021 FSC-klagomål.docx", "A 54434-2021")</f>
        <v/>
      </c>
      <c r="W588">
        <f>HYPERLINK("https://klasma.github.io/Logging_2481/klagomålsmail/A 54434-2021 FSC-klagomål mail.docx", "A 54434-2021")</f>
        <v/>
      </c>
      <c r="X588">
        <f>HYPERLINK("https://klasma.github.io/Logging_2481/tillsyn/A 54434-2021 tillsynsbegäran.docx", "A 54434-2021")</f>
        <v/>
      </c>
      <c r="Y588">
        <f>HYPERLINK("https://klasma.github.io/Logging_2481/tillsynsmail/A 54434-2021 tillsynsbegäran mail.docx", "A 54434-2021")</f>
        <v/>
      </c>
    </row>
    <row r="589" ht="15" customHeight="1">
      <c r="A589" t="inlineStr">
        <is>
          <t>A 57409-2021</t>
        </is>
      </c>
      <c r="B589" s="1" t="n">
        <v>44483</v>
      </c>
      <c r="C589" s="1" t="n">
        <v>45788</v>
      </c>
      <c r="D589" t="inlineStr">
        <is>
          <t>VÄSTERBOTTENS LÄN</t>
        </is>
      </c>
      <c r="E589" t="inlineStr">
        <is>
          <t>SKELLEFTEÅ</t>
        </is>
      </c>
      <c r="G589" t="n">
        <v>20.3</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HYPERLINK("https://klasma.github.io/Logging_2482/artfynd/A 57409-2021 artfynd.xlsx", "A 57409-2021")</f>
        <v/>
      </c>
      <c r="T589">
        <f>HYPERLINK("https://klasma.github.io/Logging_2482/kartor/A 57409-2021 karta.png", "A 57409-2021")</f>
        <v/>
      </c>
      <c r="V589">
        <f>HYPERLINK("https://klasma.github.io/Logging_2482/klagomål/A 57409-2021 FSC-klagomål.docx", "A 57409-2021")</f>
        <v/>
      </c>
      <c r="W589">
        <f>HYPERLINK("https://klasma.github.io/Logging_2482/klagomålsmail/A 57409-2021 FSC-klagomål mail.docx", "A 57409-2021")</f>
        <v/>
      </c>
      <c r="X589">
        <f>HYPERLINK("https://klasma.github.io/Logging_2482/tillsyn/A 57409-2021 tillsynsbegäran.docx", "A 57409-2021")</f>
        <v/>
      </c>
      <c r="Y589">
        <f>HYPERLINK("https://klasma.github.io/Logging_2482/tillsynsmail/A 57409-2021 tillsynsbegäran mail.docx", "A 57409-2021")</f>
        <v/>
      </c>
    </row>
    <row r="590" ht="15" customHeight="1">
      <c r="A590" t="inlineStr">
        <is>
          <t>A 57738-2021</t>
        </is>
      </c>
      <c r="B590" s="1" t="n">
        <v>44484</v>
      </c>
      <c r="C590" s="1" t="n">
        <v>45788</v>
      </c>
      <c r="D590" t="inlineStr">
        <is>
          <t>VÄSTERBOTTENS LÄN</t>
        </is>
      </c>
      <c r="E590" t="inlineStr">
        <is>
          <t>SKELLEFTEÅ</t>
        </is>
      </c>
      <c r="G590" t="n">
        <v>11.4</v>
      </c>
      <c r="H590" t="n">
        <v>2</v>
      </c>
      <c r="I590" t="n">
        <v>1</v>
      </c>
      <c r="J590" t="n">
        <v>2</v>
      </c>
      <c r="K590" t="n">
        <v>0</v>
      </c>
      <c r="L590" t="n">
        <v>0</v>
      </c>
      <c r="M590" t="n">
        <v>0</v>
      </c>
      <c r="N590" t="n">
        <v>0</v>
      </c>
      <c r="O590" t="n">
        <v>2</v>
      </c>
      <c r="P590" t="n">
        <v>0</v>
      </c>
      <c r="Q590" t="n">
        <v>4</v>
      </c>
      <c r="R590" s="2" t="inlineStr">
        <is>
          <t>Doftskinn
Talltita
Nästlav
Fläcknycklar</t>
        </is>
      </c>
      <c r="S590">
        <f>HYPERLINK("https://klasma.github.io/Logging_2482/artfynd/A 57738-2021 artfynd.xlsx", "A 57738-2021")</f>
        <v/>
      </c>
      <c r="T590">
        <f>HYPERLINK("https://klasma.github.io/Logging_2482/kartor/A 57738-2021 karta.png", "A 57738-2021")</f>
        <v/>
      </c>
      <c r="V590">
        <f>HYPERLINK("https://klasma.github.io/Logging_2482/klagomål/A 57738-2021 FSC-klagomål.docx", "A 57738-2021")</f>
        <v/>
      </c>
      <c r="W590">
        <f>HYPERLINK("https://klasma.github.io/Logging_2482/klagomålsmail/A 57738-2021 FSC-klagomål mail.docx", "A 57738-2021")</f>
        <v/>
      </c>
      <c r="X590">
        <f>HYPERLINK("https://klasma.github.io/Logging_2482/tillsyn/A 57738-2021 tillsynsbegäran.docx", "A 57738-2021")</f>
        <v/>
      </c>
      <c r="Y590">
        <f>HYPERLINK("https://klasma.github.io/Logging_2482/tillsynsmail/A 57738-2021 tillsynsbegäran mail.docx", "A 57738-2021")</f>
        <v/>
      </c>
      <c r="Z590">
        <f>HYPERLINK("https://klasma.github.io/Logging_2482/fåglar/A 57738-2021 prioriterade fågelarter.docx", "A 57738-2021")</f>
        <v/>
      </c>
    </row>
    <row r="591" ht="15" customHeight="1">
      <c r="A591" t="inlineStr">
        <is>
          <t>A 58835-2021</t>
        </is>
      </c>
      <c r="B591" s="1" t="n">
        <v>44489</v>
      </c>
      <c r="C591" s="1" t="n">
        <v>45788</v>
      </c>
      <c r="D591" t="inlineStr">
        <is>
          <t>VÄSTERBOTTENS LÄN</t>
        </is>
      </c>
      <c r="E591" t="inlineStr">
        <is>
          <t>SKELLEFTEÅ</t>
        </is>
      </c>
      <c r="G591" t="n">
        <v>10.2</v>
      </c>
      <c r="H591" t="n">
        <v>0</v>
      </c>
      <c r="I591" t="n">
        <v>0</v>
      </c>
      <c r="J591" t="n">
        <v>4</v>
      </c>
      <c r="K591" t="n">
        <v>0</v>
      </c>
      <c r="L591" t="n">
        <v>0</v>
      </c>
      <c r="M591" t="n">
        <v>0</v>
      </c>
      <c r="N591" t="n">
        <v>0</v>
      </c>
      <c r="O591" t="n">
        <v>4</v>
      </c>
      <c r="P591" t="n">
        <v>0</v>
      </c>
      <c r="Q591" t="n">
        <v>4</v>
      </c>
      <c r="R591" s="2" t="inlineStr">
        <is>
          <t>Doftskinn
Gammelgransskål
Stjärntagging
Ullticka</t>
        </is>
      </c>
      <c r="S591">
        <f>HYPERLINK("https://klasma.github.io/Logging_2482/artfynd/A 58835-2021 artfynd.xlsx", "A 58835-2021")</f>
        <v/>
      </c>
      <c r="T591">
        <f>HYPERLINK("https://klasma.github.io/Logging_2482/kartor/A 58835-2021 karta.png", "A 58835-2021")</f>
        <v/>
      </c>
      <c r="V591">
        <f>HYPERLINK("https://klasma.github.io/Logging_2482/klagomål/A 58835-2021 FSC-klagomål.docx", "A 58835-2021")</f>
        <v/>
      </c>
      <c r="W591">
        <f>HYPERLINK("https://klasma.github.io/Logging_2482/klagomålsmail/A 58835-2021 FSC-klagomål mail.docx", "A 58835-2021")</f>
        <v/>
      </c>
      <c r="X591">
        <f>HYPERLINK("https://klasma.github.io/Logging_2482/tillsyn/A 58835-2021 tillsynsbegäran.docx", "A 58835-2021")</f>
        <v/>
      </c>
      <c r="Y591">
        <f>HYPERLINK("https://klasma.github.io/Logging_2482/tillsynsmail/A 58835-2021 tillsynsbegäran mail.docx", "A 58835-2021")</f>
        <v/>
      </c>
    </row>
    <row r="592" ht="15" customHeight="1">
      <c r="A592" t="inlineStr">
        <is>
          <t>A 60124-2021</t>
        </is>
      </c>
      <c r="B592" s="1" t="n">
        <v>44494</v>
      </c>
      <c r="C592" s="1" t="n">
        <v>45788</v>
      </c>
      <c r="D592" t="inlineStr">
        <is>
          <t>VÄSTERBOTTENS LÄN</t>
        </is>
      </c>
      <c r="E592" t="inlineStr">
        <is>
          <t>DOROTEA</t>
        </is>
      </c>
      <c r="G592" t="n">
        <v>22.6</v>
      </c>
      <c r="H592" t="n">
        <v>0</v>
      </c>
      <c r="I592" t="n">
        <v>2</v>
      </c>
      <c r="J592" t="n">
        <v>2</v>
      </c>
      <c r="K592" t="n">
        <v>0</v>
      </c>
      <c r="L592" t="n">
        <v>0</v>
      </c>
      <c r="M592" t="n">
        <v>0</v>
      </c>
      <c r="N592" t="n">
        <v>0</v>
      </c>
      <c r="O592" t="n">
        <v>2</v>
      </c>
      <c r="P592" t="n">
        <v>0</v>
      </c>
      <c r="Q592" t="n">
        <v>4</v>
      </c>
      <c r="R592" s="2" t="inlineStr">
        <is>
          <t>Harticka
Lunglav
Stuplav
Trådticka</t>
        </is>
      </c>
      <c r="S592">
        <f>HYPERLINK("https://klasma.github.io/Logging_2425/artfynd/A 60124-2021 artfynd.xlsx", "A 60124-2021")</f>
        <v/>
      </c>
      <c r="T592">
        <f>HYPERLINK("https://klasma.github.io/Logging_2425/kartor/A 60124-2021 karta.png", "A 60124-2021")</f>
        <v/>
      </c>
      <c r="V592">
        <f>HYPERLINK("https://klasma.github.io/Logging_2425/klagomål/A 60124-2021 FSC-klagomål.docx", "A 60124-2021")</f>
        <v/>
      </c>
      <c r="W592">
        <f>HYPERLINK("https://klasma.github.io/Logging_2425/klagomålsmail/A 60124-2021 FSC-klagomål mail.docx", "A 60124-2021")</f>
        <v/>
      </c>
      <c r="X592">
        <f>HYPERLINK("https://klasma.github.io/Logging_2425/tillsyn/A 60124-2021 tillsynsbegäran.docx", "A 60124-2021")</f>
        <v/>
      </c>
      <c r="Y592">
        <f>HYPERLINK("https://klasma.github.io/Logging_2425/tillsynsmail/A 60124-2021 tillsynsbegäran mail.docx", "A 60124-2021")</f>
        <v/>
      </c>
    </row>
    <row r="593" ht="15" customHeight="1">
      <c r="A593" t="inlineStr">
        <is>
          <t>A 60901-2021</t>
        </is>
      </c>
      <c r="B593" s="1" t="n">
        <v>44497</v>
      </c>
      <c r="C593" s="1" t="n">
        <v>45788</v>
      </c>
      <c r="D593" t="inlineStr">
        <is>
          <t>VÄSTERBOTTENS LÄN</t>
        </is>
      </c>
      <c r="E593" t="inlineStr">
        <is>
          <t>VINDELN</t>
        </is>
      </c>
      <c r="F593" t="inlineStr">
        <is>
          <t>Sveaskog</t>
        </is>
      </c>
      <c r="G593" t="n">
        <v>2.4</v>
      </c>
      <c r="H593" t="n">
        <v>0</v>
      </c>
      <c r="I593" t="n">
        <v>0</v>
      </c>
      <c r="J593" t="n">
        <v>4</v>
      </c>
      <c r="K593" t="n">
        <v>0</v>
      </c>
      <c r="L593" t="n">
        <v>0</v>
      </c>
      <c r="M593" t="n">
        <v>0</v>
      </c>
      <c r="N593" t="n">
        <v>0</v>
      </c>
      <c r="O593" t="n">
        <v>4</v>
      </c>
      <c r="P593" t="n">
        <v>0</v>
      </c>
      <c r="Q593" t="n">
        <v>4</v>
      </c>
      <c r="R593" s="2" t="inlineStr">
        <is>
          <t>Gammelgransskål
Garnlav
Vedskivlav
Violettgrå tagellav</t>
        </is>
      </c>
      <c r="S593">
        <f>HYPERLINK("https://klasma.github.io/Logging_2404/artfynd/A 60901-2021 artfynd.xlsx", "A 60901-2021")</f>
        <v/>
      </c>
      <c r="T593">
        <f>HYPERLINK("https://klasma.github.io/Logging_2404/kartor/A 60901-2021 karta.png", "A 60901-2021")</f>
        <v/>
      </c>
      <c r="V593">
        <f>HYPERLINK("https://klasma.github.io/Logging_2404/klagomål/A 60901-2021 FSC-klagomål.docx", "A 60901-2021")</f>
        <v/>
      </c>
      <c r="W593">
        <f>HYPERLINK("https://klasma.github.io/Logging_2404/klagomålsmail/A 60901-2021 FSC-klagomål mail.docx", "A 60901-2021")</f>
        <v/>
      </c>
      <c r="X593">
        <f>HYPERLINK("https://klasma.github.io/Logging_2404/tillsyn/A 60901-2021 tillsynsbegäran.docx", "A 60901-2021")</f>
        <v/>
      </c>
      <c r="Y593">
        <f>HYPERLINK("https://klasma.github.io/Logging_2404/tillsynsmail/A 60901-2021 tillsynsbegäran mail.docx", "A 60901-2021")</f>
        <v/>
      </c>
    </row>
    <row r="594" ht="15" customHeight="1">
      <c r="A594" t="inlineStr">
        <is>
          <t>A 62340-2021</t>
        </is>
      </c>
      <c r="B594" s="1" t="n">
        <v>44503</v>
      </c>
      <c r="C594" s="1" t="n">
        <v>45788</v>
      </c>
      <c r="D594" t="inlineStr">
        <is>
          <t>VÄSTERBOTTENS LÄN</t>
        </is>
      </c>
      <c r="E594" t="inlineStr">
        <is>
          <t>SKELLEFTEÅ</t>
        </is>
      </c>
      <c r="G594" t="n">
        <v>3.9</v>
      </c>
      <c r="H594" t="n">
        <v>0</v>
      </c>
      <c r="I594" t="n">
        <v>2</v>
      </c>
      <c r="J594" t="n">
        <v>2</v>
      </c>
      <c r="K594" t="n">
        <v>0</v>
      </c>
      <c r="L594" t="n">
        <v>0</v>
      </c>
      <c r="M594" t="n">
        <v>0</v>
      </c>
      <c r="N594" t="n">
        <v>0</v>
      </c>
      <c r="O594" t="n">
        <v>2</v>
      </c>
      <c r="P594" t="n">
        <v>0</v>
      </c>
      <c r="Q594" t="n">
        <v>4</v>
      </c>
      <c r="R594" s="2" t="inlineStr">
        <is>
          <t>Garnlav
Harticka
Dropptaggsvamp
Vedticka</t>
        </is>
      </c>
      <c r="S594">
        <f>HYPERLINK("https://klasma.github.io/Logging_2482/artfynd/A 62340-2021 artfynd.xlsx", "A 62340-2021")</f>
        <v/>
      </c>
      <c r="T594">
        <f>HYPERLINK("https://klasma.github.io/Logging_2482/kartor/A 62340-2021 karta.png", "A 62340-2021")</f>
        <v/>
      </c>
      <c r="V594">
        <f>HYPERLINK("https://klasma.github.io/Logging_2482/klagomål/A 62340-2021 FSC-klagomål.docx", "A 62340-2021")</f>
        <v/>
      </c>
      <c r="W594">
        <f>HYPERLINK("https://klasma.github.io/Logging_2482/klagomålsmail/A 62340-2021 FSC-klagomål mail.docx", "A 62340-2021")</f>
        <v/>
      </c>
      <c r="X594">
        <f>HYPERLINK("https://klasma.github.io/Logging_2482/tillsyn/A 62340-2021 tillsynsbegäran.docx", "A 62340-2021")</f>
        <v/>
      </c>
      <c r="Y594">
        <f>HYPERLINK("https://klasma.github.io/Logging_2482/tillsynsmail/A 62340-2021 tillsynsbegäran mail.docx", "A 62340-2021")</f>
        <v/>
      </c>
    </row>
    <row r="595" ht="15" customHeight="1">
      <c r="A595" t="inlineStr">
        <is>
          <t>A 66443-2021</t>
        </is>
      </c>
      <c r="B595" s="1" t="n">
        <v>44518</v>
      </c>
      <c r="C595" s="1" t="n">
        <v>45788</v>
      </c>
      <c r="D595" t="inlineStr">
        <is>
          <t>VÄSTERBOTTENS LÄN</t>
        </is>
      </c>
      <c r="E595" t="inlineStr">
        <is>
          <t>SORSELE</t>
        </is>
      </c>
      <c r="G595" t="n">
        <v>15.5</v>
      </c>
      <c r="H595" t="n">
        <v>1</v>
      </c>
      <c r="I595" t="n">
        <v>0</v>
      </c>
      <c r="J595" t="n">
        <v>4</v>
      </c>
      <c r="K595" t="n">
        <v>0</v>
      </c>
      <c r="L595" t="n">
        <v>0</v>
      </c>
      <c r="M595" t="n">
        <v>0</v>
      </c>
      <c r="N595" t="n">
        <v>0</v>
      </c>
      <c r="O595" t="n">
        <v>4</v>
      </c>
      <c r="P595" t="n">
        <v>0</v>
      </c>
      <c r="Q595" t="n">
        <v>4</v>
      </c>
      <c r="R595" s="2" t="inlineStr">
        <is>
          <t>Dvärgbägarlav
Granticka
Harticka
Talltita</t>
        </is>
      </c>
      <c r="S595">
        <f>HYPERLINK("https://klasma.github.io/Logging_2422/artfynd/A 66443-2021 artfynd.xlsx", "A 66443-2021")</f>
        <v/>
      </c>
      <c r="T595">
        <f>HYPERLINK("https://klasma.github.io/Logging_2422/kartor/A 66443-2021 karta.png", "A 66443-2021")</f>
        <v/>
      </c>
      <c r="V595">
        <f>HYPERLINK("https://klasma.github.io/Logging_2422/klagomål/A 66443-2021 FSC-klagomål.docx", "A 66443-2021")</f>
        <v/>
      </c>
      <c r="W595">
        <f>HYPERLINK("https://klasma.github.io/Logging_2422/klagomålsmail/A 66443-2021 FSC-klagomål mail.docx", "A 66443-2021")</f>
        <v/>
      </c>
      <c r="X595">
        <f>HYPERLINK("https://klasma.github.io/Logging_2422/tillsyn/A 66443-2021 tillsynsbegäran.docx", "A 66443-2021")</f>
        <v/>
      </c>
      <c r="Y595">
        <f>HYPERLINK("https://klasma.github.io/Logging_2422/tillsynsmail/A 66443-2021 tillsynsbegäran mail.docx", "A 66443-2021")</f>
        <v/>
      </c>
      <c r="Z595">
        <f>HYPERLINK("https://klasma.github.io/Logging_2422/fåglar/A 66443-2021 prioriterade fågelarter.docx", "A 66443-2021")</f>
        <v/>
      </c>
    </row>
    <row r="596" ht="15" customHeight="1">
      <c r="A596" t="inlineStr">
        <is>
          <t>A 3212-2022</t>
        </is>
      </c>
      <c r="B596" s="1" t="n">
        <v>44582</v>
      </c>
      <c r="C596" s="1" t="n">
        <v>45788</v>
      </c>
      <c r="D596" t="inlineStr">
        <is>
          <t>VÄSTERBOTTENS LÄN</t>
        </is>
      </c>
      <c r="E596" t="inlineStr">
        <is>
          <t>SKELLEFTEÅ</t>
        </is>
      </c>
      <c r="G596" t="n">
        <v>1.4</v>
      </c>
      <c r="H596" t="n">
        <v>0</v>
      </c>
      <c r="I596" t="n">
        <v>1</v>
      </c>
      <c r="J596" t="n">
        <v>3</v>
      </c>
      <c r="K596" t="n">
        <v>0</v>
      </c>
      <c r="L596" t="n">
        <v>0</v>
      </c>
      <c r="M596" t="n">
        <v>0</v>
      </c>
      <c r="N596" t="n">
        <v>0</v>
      </c>
      <c r="O596" t="n">
        <v>3</v>
      </c>
      <c r="P596" t="n">
        <v>0</v>
      </c>
      <c r="Q596" t="n">
        <v>4</v>
      </c>
      <c r="R596" s="2" t="inlineStr">
        <is>
          <t>Garnlav
Granticka
Harticka
Vedticka</t>
        </is>
      </c>
      <c r="S596">
        <f>HYPERLINK("https://klasma.github.io/Logging_2482/artfynd/A 3212-2022 artfynd.xlsx", "A 3212-2022")</f>
        <v/>
      </c>
      <c r="T596">
        <f>HYPERLINK("https://klasma.github.io/Logging_2482/kartor/A 3212-2022 karta.png", "A 3212-2022")</f>
        <v/>
      </c>
      <c r="V596">
        <f>HYPERLINK("https://klasma.github.io/Logging_2482/klagomål/A 3212-2022 FSC-klagomål.docx", "A 3212-2022")</f>
        <v/>
      </c>
      <c r="W596">
        <f>HYPERLINK("https://klasma.github.io/Logging_2482/klagomålsmail/A 3212-2022 FSC-klagomål mail.docx", "A 3212-2022")</f>
        <v/>
      </c>
      <c r="X596">
        <f>HYPERLINK("https://klasma.github.io/Logging_2482/tillsyn/A 3212-2022 tillsynsbegäran.docx", "A 3212-2022")</f>
        <v/>
      </c>
      <c r="Y596">
        <f>HYPERLINK("https://klasma.github.io/Logging_2482/tillsynsmail/A 3212-2022 tillsynsbegäran mail.docx", "A 3212-2022")</f>
        <v/>
      </c>
    </row>
    <row r="597" ht="15" customHeight="1">
      <c r="A597" t="inlineStr">
        <is>
          <t>A 4365-2022</t>
        </is>
      </c>
      <c r="B597" s="1" t="n">
        <v>44588</v>
      </c>
      <c r="C597" s="1" t="n">
        <v>45788</v>
      </c>
      <c r="D597" t="inlineStr">
        <is>
          <t>VÄSTERBOTTENS LÄN</t>
        </is>
      </c>
      <c r="E597" t="inlineStr">
        <is>
          <t>BJURHOLM</t>
        </is>
      </c>
      <c r="G597" t="n">
        <v>14</v>
      </c>
      <c r="H597" t="n">
        <v>1</v>
      </c>
      <c r="I597" t="n">
        <v>0</v>
      </c>
      <c r="J597" t="n">
        <v>3</v>
      </c>
      <c r="K597" t="n">
        <v>1</v>
      </c>
      <c r="L597" t="n">
        <v>0</v>
      </c>
      <c r="M597" t="n">
        <v>0</v>
      </c>
      <c r="N597" t="n">
        <v>0</v>
      </c>
      <c r="O597" t="n">
        <v>4</v>
      </c>
      <c r="P597" t="n">
        <v>1</v>
      </c>
      <c r="Q597" t="n">
        <v>4</v>
      </c>
      <c r="R597" s="2" t="inlineStr">
        <is>
          <t>Rynkskinn
Garnlav
Spillkråka
Ullticka</t>
        </is>
      </c>
      <c r="S597">
        <f>HYPERLINK("https://klasma.github.io/Logging_2403/artfynd/A 4365-2022 artfynd.xlsx", "A 4365-2022")</f>
        <v/>
      </c>
      <c r="T597">
        <f>HYPERLINK("https://klasma.github.io/Logging_2403/kartor/A 4365-2022 karta.png", "A 4365-2022")</f>
        <v/>
      </c>
      <c r="V597">
        <f>HYPERLINK("https://klasma.github.io/Logging_2403/klagomål/A 4365-2022 FSC-klagomål.docx", "A 4365-2022")</f>
        <v/>
      </c>
      <c r="W597">
        <f>HYPERLINK("https://klasma.github.io/Logging_2403/klagomålsmail/A 4365-2022 FSC-klagomål mail.docx", "A 4365-2022")</f>
        <v/>
      </c>
      <c r="X597">
        <f>HYPERLINK("https://klasma.github.io/Logging_2403/tillsyn/A 4365-2022 tillsynsbegäran.docx", "A 4365-2022")</f>
        <v/>
      </c>
      <c r="Y597">
        <f>HYPERLINK("https://klasma.github.io/Logging_2403/tillsynsmail/A 4365-2022 tillsynsbegäran mail.docx", "A 4365-2022")</f>
        <v/>
      </c>
      <c r="Z597">
        <f>HYPERLINK("https://klasma.github.io/Logging_2403/fåglar/A 4365-2022 prioriterade fågelarter.docx", "A 4365-2022")</f>
        <v/>
      </c>
    </row>
    <row r="598" ht="15" customHeight="1">
      <c r="A598" t="inlineStr">
        <is>
          <t>A 5029-2022</t>
        </is>
      </c>
      <c r="B598" s="1" t="n">
        <v>44593</v>
      </c>
      <c r="C598" s="1" t="n">
        <v>45788</v>
      </c>
      <c r="D598" t="inlineStr">
        <is>
          <t>VÄSTERBOTTENS LÄN</t>
        </is>
      </c>
      <c r="E598" t="inlineStr">
        <is>
          <t>UMEÅ</t>
        </is>
      </c>
      <c r="G598" t="n">
        <v>9.300000000000001</v>
      </c>
      <c r="H598" t="n">
        <v>0</v>
      </c>
      <c r="I598" t="n">
        <v>1</v>
      </c>
      <c r="J598" t="n">
        <v>2</v>
      </c>
      <c r="K598" t="n">
        <v>1</v>
      </c>
      <c r="L598" t="n">
        <v>0</v>
      </c>
      <c r="M598" t="n">
        <v>0</v>
      </c>
      <c r="N598" t="n">
        <v>0</v>
      </c>
      <c r="O598" t="n">
        <v>3</v>
      </c>
      <c r="P598" t="n">
        <v>1</v>
      </c>
      <c r="Q598" t="n">
        <v>4</v>
      </c>
      <c r="R598" s="2" t="inlineStr">
        <is>
          <t>Rynkskinn
Granticka
Ullticka
Vedticka</t>
        </is>
      </c>
      <c r="S598">
        <f>HYPERLINK("https://klasma.github.io/Logging_2480/artfynd/A 5029-2022 artfynd.xlsx", "A 5029-2022")</f>
        <v/>
      </c>
      <c r="T598">
        <f>HYPERLINK("https://klasma.github.io/Logging_2480/kartor/A 5029-2022 karta.png", "A 5029-2022")</f>
        <v/>
      </c>
      <c r="V598">
        <f>HYPERLINK("https://klasma.github.io/Logging_2480/klagomål/A 5029-2022 FSC-klagomål.docx", "A 5029-2022")</f>
        <v/>
      </c>
      <c r="W598">
        <f>HYPERLINK("https://klasma.github.io/Logging_2480/klagomålsmail/A 5029-2022 FSC-klagomål mail.docx", "A 5029-2022")</f>
        <v/>
      </c>
      <c r="X598">
        <f>HYPERLINK("https://klasma.github.io/Logging_2480/tillsyn/A 5029-2022 tillsynsbegäran.docx", "A 5029-2022")</f>
        <v/>
      </c>
      <c r="Y598">
        <f>HYPERLINK("https://klasma.github.io/Logging_2480/tillsynsmail/A 5029-2022 tillsynsbegäran mail.docx", "A 5029-2022")</f>
        <v/>
      </c>
    </row>
    <row r="599" ht="15" customHeight="1">
      <c r="A599" t="inlineStr">
        <is>
          <t>A 16206-2022</t>
        </is>
      </c>
      <c r="B599" s="1" t="n">
        <v>44670</v>
      </c>
      <c r="C599" s="1" t="n">
        <v>45788</v>
      </c>
      <c r="D599" t="inlineStr">
        <is>
          <t>VÄSTERBOTTENS LÄN</t>
        </is>
      </c>
      <c r="E599" t="inlineStr">
        <is>
          <t>UMEÅ</t>
        </is>
      </c>
      <c r="F599" t="inlineStr">
        <is>
          <t>Kommuner</t>
        </is>
      </c>
      <c r="G599" t="n">
        <v>4.2</v>
      </c>
      <c r="H599" t="n">
        <v>1</v>
      </c>
      <c r="I599" t="n">
        <v>1</v>
      </c>
      <c r="J599" t="n">
        <v>3</v>
      </c>
      <c r="K599" t="n">
        <v>0</v>
      </c>
      <c r="L599" t="n">
        <v>0</v>
      </c>
      <c r="M599" t="n">
        <v>0</v>
      </c>
      <c r="N599" t="n">
        <v>0</v>
      </c>
      <c r="O599" t="n">
        <v>3</v>
      </c>
      <c r="P599" t="n">
        <v>0</v>
      </c>
      <c r="Q599" t="n">
        <v>4</v>
      </c>
      <c r="R599" s="2" t="inlineStr">
        <is>
          <t>Gammelgransskål
Spillkråka
Ullticka
Vedticka</t>
        </is>
      </c>
      <c r="S599">
        <f>HYPERLINK("https://klasma.github.io/Logging_2480/artfynd/A 16206-2022 artfynd.xlsx", "A 16206-2022")</f>
        <v/>
      </c>
      <c r="T599">
        <f>HYPERLINK("https://klasma.github.io/Logging_2480/kartor/A 16206-2022 karta.png", "A 16206-2022")</f>
        <v/>
      </c>
      <c r="V599">
        <f>HYPERLINK("https://klasma.github.io/Logging_2480/klagomål/A 16206-2022 FSC-klagomål.docx", "A 16206-2022")</f>
        <v/>
      </c>
      <c r="W599">
        <f>HYPERLINK("https://klasma.github.io/Logging_2480/klagomålsmail/A 16206-2022 FSC-klagomål mail.docx", "A 16206-2022")</f>
        <v/>
      </c>
      <c r="X599">
        <f>HYPERLINK("https://klasma.github.io/Logging_2480/tillsyn/A 16206-2022 tillsynsbegäran.docx", "A 16206-2022")</f>
        <v/>
      </c>
      <c r="Y599">
        <f>HYPERLINK("https://klasma.github.io/Logging_2480/tillsynsmail/A 16206-2022 tillsynsbegäran mail.docx", "A 16206-2022")</f>
        <v/>
      </c>
      <c r="Z599">
        <f>HYPERLINK("https://klasma.github.io/Logging_2480/fåglar/A 16206-2022 prioriterade fågelarter.docx", "A 16206-2022")</f>
        <v/>
      </c>
    </row>
    <row r="600" ht="15" customHeight="1">
      <c r="A600" t="inlineStr">
        <is>
          <t>A 28993-2022</t>
        </is>
      </c>
      <c r="B600" s="1" t="n">
        <v>44749</v>
      </c>
      <c r="C600" s="1" t="n">
        <v>45788</v>
      </c>
      <c r="D600" t="inlineStr">
        <is>
          <t>VÄSTERBOTTENS LÄN</t>
        </is>
      </c>
      <c r="E600" t="inlineStr">
        <is>
          <t>LYCKSELE</t>
        </is>
      </c>
      <c r="F600" t="inlineStr">
        <is>
          <t>Holmen skog AB</t>
        </is>
      </c>
      <c r="G600" t="n">
        <v>6.9</v>
      </c>
      <c r="H600" t="n">
        <v>1</v>
      </c>
      <c r="I600" t="n">
        <v>0</v>
      </c>
      <c r="J600" t="n">
        <v>4</v>
      </c>
      <c r="K600" t="n">
        <v>0</v>
      </c>
      <c r="L600" t="n">
        <v>0</v>
      </c>
      <c r="M600" t="n">
        <v>0</v>
      </c>
      <c r="N600" t="n">
        <v>0</v>
      </c>
      <c r="O600" t="n">
        <v>4</v>
      </c>
      <c r="P600" t="n">
        <v>0</v>
      </c>
      <c r="Q600" t="n">
        <v>4</v>
      </c>
      <c r="R600" s="2" t="inlineStr">
        <is>
          <t>Garnlav
Granticka
Tretåig hackspett
Ullticka</t>
        </is>
      </c>
      <c r="S600">
        <f>HYPERLINK("https://klasma.github.io/Logging_2481/artfynd/A 28993-2022 artfynd.xlsx", "A 28993-2022")</f>
        <v/>
      </c>
      <c r="T600">
        <f>HYPERLINK("https://klasma.github.io/Logging_2481/kartor/A 28993-2022 karta.png", "A 28993-2022")</f>
        <v/>
      </c>
      <c r="V600">
        <f>HYPERLINK("https://klasma.github.io/Logging_2481/klagomål/A 28993-2022 FSC-klagomål.docx", "A 28993-2022")</f>
        <v/>
      </c>
      <c r="W600">
        <f>HYPERLINK("https://klasma.github.io/Logging_2481/klagomålsmail/A 28993-2022 FSC-klagomål mail.docx", "A 28993-2022")</f>
        <v/>
      </c>
      <c r="X600">
        <f>HYPERLINK("https://klasma.github.io/Logging_2481/tillsyn/A 28993-2022 tillsynsbegäran.docx", "A 28993-2022")</f>
        <v/>
      </c>
      <c r="Y600">
        <f>HYPERLINK("https://klasma.github.io/Logging_2481/tillsynsmail/A 28993-2022 tillsynsbegäran mail.docx", "A 28993-2022")</f>
        <v/>
      </c>
      <c r="Z600">
        <f>HYPERLINK("https://klasma.github.io/Logging_2481/fåglar/A 28993-2022 prioriterade fågelarter.docx", "A 28993-2022")</f>
        <v/>
      </c>
    </row>
    <row r="601" ht="15" customHeight="1">
      <c r="A601" t="inlineStr">
        <is>
          <t>A 30296-2022</t>
        </is>
      </c>
      <c r="B601" s="1" t="n">
        <v>44760</v>
      </c>
      <c r="C601" s="1" t="n">
        <v>45788</v>
      </c>
      <c r="D601" t="inlineStr">
        <is>
          <t>VÄSTERBOTTENS LÄN</t>
        </is>
      </c>
      <c r="E601" t="inlineStr">
        <is>
          <t>LYCKSELE</t>
        </is>
      </c>
      <c r="F601" t="inlineStr">
        <is>
          <t>Sveaskog</t>
        </is>
      </c>
      <c r="G601" t="n">
        <v>12.3</v>
      </c>
      <c r="H601" t="n">
        <v>0</v>
      </c>
      <c r="I601" t="n">
        <v>1</v>
      </c>
      <c r="J601" t="n">
        <v>3</v>
      </c>
      <c r="K601" t="n">
        <v>0</v>
      </c>
      <c r="L601" t="n">
        <v>0</v>
      </c>
      <c r="M601" t="n">
        <v>0</v>
      </c>
      <c r="N601" t="n">
        <v>0</v>
      </c>
      <c r="O601" t="n">
        <v>3</v>
      </c>
      <c r="P601" t="n">
        <v>0</v>
      </c>
      <c r="Q601" t="n">
        <v>4</v>
      </c>
      <c r="R601" s="2" t="inlineStr">
        <is>
          <t>Dvärgbägarlav
Kolflarnlav
Lunglav
Stuplav</t>
        </is>
      </c>
      <c r="S601">
        <f>HYPERLINK("https://klasma.github.io/Logging_2481/artfynd/A 30296-2022 artfynd.xlsx", "A 30296-2022")</f>
        <v/>
      </c>
      <c r="T601">
        <f>HYPERLINK("https://klasma.github.io/Logging_2481/kartor/A 30296-2022 karta.png", "A 30296-2022")</f>
        <v/>
      </c>
      <c r="V601">
        <f>HYPERLINK("https://klasma.github.io/Logging_2481/klagomål/A 30296-2022 FSC-klagomål.docx", "A 30296-2022")</f>
        <v/>
      </c>
      <c r="W601">
        <f>HYPERLINK("https://klasma.github.io/Logging_2481/klagomålsmail/A 30296-2022 FSC-klagomål mail.docx", "A 30296-2022")</f>
        <v/>
      </c>
      <c r="X601">
        <f>HYPERLINK("https://klasma.github.io/Logging_2481/tillsyn/A 30296-2022 tillsynsbegäran.docx", "A 30296-2022")</f>
        <v/>
      </c>
      <c r="Y601">
        <f>HYPERLINK("https://klasma.github.io/Logging_2481/tillsynsmail/A 30296-2022 tillsynsbegäran mail.docx", "A 30296-2022")</f>
        <v/>
      </c>
    </row>
    <row r="602" ht="15" customHeight="1">
      <c r="A602" t="inlineStr">
        <is>
          <t>A 33008-2022</t>
        </is>
      </c>
      <c r="B602" s="1" t="n">
        <v>44785</v>
      </c>
      <c r="C602" s="1" t="n">
        <v>45788</v>
      </c>
      <c r="D602" t="inlineStr">
        <is>
          <t>VÄSTERBOTTENS LÄN</t>
        </is>
      </c>
      <c r="E602" t="inlineStr">
        <is>
          <t>UMEÅ</t>
        </is>
      </c>
      <c r="F602" t="inlineStr">
        <is>
          <t>Kommuner</t>
        </is>
      </c>
      <c r="G602" t="n">
        <v>1.6</v>
      </c>
      <c r="H602" t="n">
        <v>1</v>
      </c>
      <c r="I602" t="n">
        <v>2</v>
      </c>
      <c r="J602" t="n">
        <v>2</v>
      </c>
      <c r="K602" t="n">
        <v>0</v>
      </c>
      <c r="L602" t="n">
        <v>0</v>
      </c>
      <c r="M602" t="n">
        <v>0</v>
      </c>
      <c r="N602" t="n">
        <v>0</v>
      </c>
      <c r="O602" t="n">
        <v>2</v>
      </c>
      <c r="P602" t="n">
        <v>0</v>
      </c>
      <c r="Q602" t="n">
        <v>4</v>
      </c>
      <c r="R602" s="2" t="inlineStr">
        <is>
          <t>Leptoporus mollis
Spillkråka
Trådticka
Vedticka</t>
        </is>
      </c>
      <c r="S602">
        <f>HYPERLINK("https://klasma.github.io/Logging_2480/artfynd/A 33008-2022 artfynd.xlsx", "A 33008-2022")</f>
        <v/>
      </c>
      <c r="T602">
        <f>HYPERLINK("https://klasma.github.io/Logging_2480/kartor/A 33008-2022 karta.png", "A 33008-2022")</f>
        <v/>
      </c>
      <c r="V602">
        <f>HYPERLINK("https://klasma.github.io/Logging_2480/klagomål/A 33008-2022 FSC-klagomål.docx", "A 33008-2022")</f>
        <v/>
      </c>
      <c r="W602">
        <f>HYPERLINK("https://klasma.github.io/Logging_2480/klagomålsmail/A 33008-2022 FSC-klagomål mail.docx", "A 33008-2022")</f>
        <v/>
      </c>
      <c r="X602">
        <f>HYPERLINK("https://klasma.github.io/Logging_2480/tillsyn/A 33008-2022 tillsynsbegäran.docx", "A 33008-2022")</f>
        <v/>
      </c>
      <c r="Y602">
        <f>HYPERLINK("https://klasma.github.io/Logging_2480/tillsynsmail/A 33008-2022 tillsynsbegäran mail.docx", "A 33008-2022")</f>
        <v/>
      </c>
      <c r="Z602">
        <f>HYPERLINK("https://klasma.github.io/Logging_2480/fåglar/A 33008-2022 prioriterade fågelarter.docx", "A 33008-2022")</f>
        <v/>
      </c>
    </row>
    <row r="603" ht="15" customHeight="1">
      <c r="A603" t="inlineStr">
        <is>
          <t>A 33350-2022</t>
        </is>
      </c>
      <c r="B603" s="1" t="n">
        <v>44788</v>
      </c>
      <c r="C603" s="1" t="n">
        <v>45788</v>
      </c>
      <c r="D603" t="inlineStr">
        <is>
          <t>VÄSTERBOTTENS LÄN</t>
        </is>
      </c>
      <c r="E603" t="inlineStr">
        <is>
          <t>STORUMAN</t>
        </is>
      </c>
      <c r="F603" t="inlineStr">
        <is>
          <t>Sveaskog</t>
        </is>
      </c>
      <c r="G603" t="n">
        <v>6.6</v>
      </c>
      <c r="H603" t="n">
        <v>0</v>
      </c>
      <c r="I603" t="n">
        <v>1</v>
      </c>
      <c r="J603" t="n">
        <v>3</v>
      </c>
      <c r="K603" t="n">
        <v>0</v>
      </c>
      <c r="L603" t="n">
        <v>0</v>
      </c>
      <c r="M603" t="n">
        <v>0</v>
      </c>
      <c r="N603" t="n">
        <v>0</v>
      </c>
      <c r="O603" t="n">
        <v>3</v>
      </c>
      <c r="P603" t="n">
        <v>0</v>
      </c>
      <c r="Q603" t="n">
        <v>4</v>
      </c>
      <c r="R603" s="2" t="inlineStr">
        <is>
          <t>Orange taggsvamp
Talltaggsvamp
Vaddporing
Dropptaggsvamp</t>
        </is>
      </c>
      <c r="S603">
        <f>HYPERLINK("https://klasma.github.io/Logging_2421/artfynd/A 33350-2022 artfynd.xlsx", "A 33350-2022")</f>
        <v/>
      </c>
      <c r="T603">
        <f>HYPERLINK("https://klasma.github.io/Logging_2421/kartor/A 33350-2022 karta.png", "A 33350-2022")</f>
        <v/>
      </c>
      <c r="V603">
        <f>HYPERLINK("https://klasma.github.io/Logging_2421/klagomål/A 33350-2022 FSC-klagomål.docx", "A 33350-2022")</f>
        <v/>
      </c>
      <c r="W603">
        <f>HYPERLINK("https://klasma.github.io/Logging_2421/klagomålsmail/A 33350-2022 FSC-klagomål mail.docx", "A 33350-2022")</f>
        <v/>
      </c>
      <c r="X603">
        <f>HYPERLINK("https://klasma.github.io/Logging_2421/tillsyn/A 33350-2022 tillsynsbegäran.docx", "A 33350-2022")</f>
        <v/>
      </c>
      <c r="Y603">
        <f>HYPERLINK("https://klasma.github.io/Logging_2421/tillsynsmail/A 33350-2022 tillsynsbegäran mail.docx", "A 33350-2022")</f>
        <v/>
      </c>
    </row>
    <row r="604" ht="15" customHeight="1">
      <c r="A604" t="inlineStr">
        <is>
          <t>A 45582-2022</t>
        </is>
      </c>
      <c r="B604" s="1" t="n">
        <v>44841</v>
      </c>
      <c r="C604" s="1" t="n">
        <v>45788</v>
      </c>
      <c r="D604" t="inlineStr">
        <is>
          <t>VÄSTERBOTTENS LÄN</t>
        </is>
      </c>
      <c r="E604" t="inlineStr">
        <is>
          <t>SORSELE</t>
        </is>
      </c>
      <c r="G604" t="n">
        <v>87.8</v>
      </c>
      <c r="H604" t="n">
        <v>0</v>
      </c>
      <c r="I604" t="n">
        <v>0</v>
      </c>
      <c r="J604" t="n">
        <v>3</v>
      </c>
      <c r="K604" t="n">
        <v>0</v>
      </c>
      <c r="L604" t="n">
        <v>1</v>
      </c>
      <c r="M604" t="n">
        <v>0</v>
      </c>
      <c r="N604" t="n">
        <v>0</v>
      </c>
      <c r="O604" t="n">
        <v>4</v>
      </c>
      <c r="P604" t="n">
        <v>1</v>
      </c>
      <c r="Q604" t="n">
        <v>4</v>
      </c>
      <c r="R604" s="2" t="inlineStr">
        <is>
          <t>Grangytterlav
Lunglav
Olivbrun gytterlav
Skrovellav</t>
        </is>
      </c>
      <c r="S604">
        <f>HYPERLINK("https://klasma.github.io/Logging_2422/artfynd/A 45582-2022 artfynd.xlsx", "A 45582-2022")</f>
        <v/>
      </c>
      <c r="T604">
        <f>HYPERLINK("https://klasma.github.io/Logging_2422/kartor/A 45582-2022 karta.png", "A 45582-2022")</f>
        <v/>
      </c>
      <c r="V604">
        <f>HYPERLINK("https://klasma.github.io/Logging_2422/klagomål/A 45582-2022 FSC-klagomål.docx", "A 45582-2022")</f>
        <v/>
      </c>
      <c r="W604">
        <f>HYPERLINK("https://klasma.github.io/Logging_2422/klagomålsmail/A 45582-2022 FSC-klagomål mail.docx", "A 45582-2022")</f>
        <v/>
      </c>
      <c r="X604">
        <f>HYPERLINK("https://klasma.github.io/Logging_2422/tillsyn/A 45582-2022 tillsynsbegäran.docx", "A 45582-2022")</f>
        <v/>
      </c>
      <c r="Y604">
        <f>HYPERLINK("https://klasma.github.io/Logging_2422/tillsynsmail/A 45582-2022 tillsynsbegäran mail.docx", "A 45582-2022")</f>
        <v/>
      </c>
    </row>
    <row r="605" ht="15" customHeight="1">
      <c r="A605" t="inlineStr">
        <is>
          <t>A 47682-2022</t>
        </is>
      </c>
      <c r="B605" s="1" t="n">
        <v>44854</v>
      </c>
      <c r="C605" s="1" t="n">
        <v>45788</v>
      </c>
      <c r="D605" t="inlineStr">
        <is>
          <t>VÄSTERBOTTENS LÄN</t>
        </is>
      </c>
      <c r="E605" t="inlineStr">
        <is>
          <t>ÅSELE</t>
        </is>
      </c>
      <c r="F605" t="inlineStr">
        <is>
          <t>Kyrkan</t>
        </is>
      </c>
      <c r="G605" t="n">
        <v>20</v>
      </c>
      <c r="H605" t="n">
        <v>2</v>
      </c>
      <c r="I605" t="n">
        <v>1</v>
      </c>
      <c r="J605" t="n">
        <v>2</v>
      </c>
      <c r="K605" t="n">
        <v>1</v>
      </c>
      <c r="L605" t="n">
        <v>0</v>
      </c>
      <c r="M605" t="n">
        <v>0</v>
      </c>
      <c r="N605" t="n">
        <v>0</v>
      </c>
      <c r="O605" t="n">
        <v>3</v>
      </c>
      <c r="P605" t="n">
        <v>1</v>
      </c>
      <c r="Q605" t="n">
        <v>4</v>
      </c>
      <c r="R605" s="2" t="inlineStr">
        <is>
          <t>Fläckporing
Spillkråka
Tretåig hackspett
Dropptaggsvamp</t>
        </is>
      </c>
      <c r="S605">
        <f>HYPERLINK("https://klasma.github.io/Logging_2463/artfynd/A 47682-2022 artfynd.xlsx", "A 47682-2022")</f>
        <v/>
      </c>
      <c r="T605">
        <f>HYPERLINK("https://klasma.github.io/Logging_2463/kartor/A 47682-2022 karta.png", "A 47682-2022")</f>
        <v/>
      </c>
      <c r="V605">
        <f>HYPERLINK("https://klasma.github.io/Logging_2463/klagomål/A 47682-2022 FSC-klagomål.docx", "A 47682-2022")</f>
        <v/>
      </c>
      <c r="W605">
        <f>HYPERLINK("https://klasma.github.io/Logging_2463/klagomålsmail/A 47682-2022 FSC-klagomål mail.docx", "A 47682-2022")</f>
        <v/>
      </c>
      <c r="X605">
        <f>HYPERLINK("https://klasma.github.io/Logging_2463/tillsyn/A 47682-2022 tillsynsbegäran.docx", "A 47682-2022")</f>
        <v/>
      </c>
      <c r="Y605">
        <f>HYPERLINK("https://klasma.github.io/Logging_2463/tillsynsmail/A 47682-2022 tillsynsbegäran mail.docx", "A 47682-2022")</f>
        <v/>
      </c>
      <c r="Z605">
        <f>HYPERLINK("https://klasma.github.io/Logging_2463/fåglar/A 47682-2022 prioriterade fågelarter.docx", "A 47682-2022")</f>
        <v/>
      </c>
    </row>
    <row r="606" ht="15" customHeight="1">
      <c r="A606" t="inlineStr">
        <is>
          <t>A 49447-2022</t>
        </is>
      </c>
      <c r="B606" s="1" t="n">
        <v>44861</v>
      </c>
      <c r="C606" s="1" t="n">
        <v>45788</v>
      </c>
      <c r="D606" t="inlineStr">
        <is>
          <t>VÄSTERBOTTENS LÄN</t>
        </is>
      </c>
      <c r="E606" t="inlineStr">
        <is>
          <t>UMEÅ</t>
        </is>
      </c>
      <c r="F606" t="inlineStr">
        <is>
          <t>Holmen skog AB</t>
        </is>
      </c>
      <c r="G606" t="n">
        <v>1.5</v>
      </c>
      <c r="H606" t="n">
        <v>0</v>
      </c>
      <c r="I606" t="n">
        <v>0</v>
      </c>
      <c r="J606" t="n">
        <v>4</v>
      </c>
      <c r="K606" t="n">
        <v>0</v>
      </c>
      <c r="L606" t="n">
        <v>0</v>
      </c>
      <c r="M606" t="n">
        <v>0</v>
      </c>
      <c r="N606" t="n">
        <v>0</v>
      </c>
      <c r="O606" t="n">
        <v>4</v>
      </c>
      <c r="P606" t="n">
        <v>0</v>
      </c>
      <c r="Q606" t="n">
        <v>4</v>
      </c>
      <c r="R606" s="2" t="inlineStr">
        <is>
          <t>Garnlav
Hapalopilus aurantiacus
Orange taggsvamp
Ullticka</t>
        </is>
      </c>
      <c r="S606">
        <f>HYPERLINK("https://klasma.github.io/Logging_2480/artfynd/A 49447-2022 artfynd.xlsx", "A 49447-2022")</f>
        <v/>
      </c>
      <c r="T606">
        <f>HYPERLINK("https://klasma.github.io/Logging_2480/kartor/A 49447-2022 karta.png", "A 49447-2022")</f>
        <v/>
      </c>
      <c r="V606">
        <f>HYPERLINK("https://klasma.github.io/Logging_2480/klagomål/A 49447-2022 FSC-klagomål.docx", "A 49447-2022")</f>
        <v/>
      </c>
      <c r="W606">
        <f>HYPERLINK("https://klasma.github.io/Logging_2480/klagomålsmail/A 49447-2022 FSC-klagomål mail.docx", "A 49447-2022")</f>
        <v/>
      </c>
      <c r="X606">
        <f>HYPERLINK("https://klasma.github.io/Logging_2480/tillsyn/A 49447-2022 tillsynsbegäran.docx", "A 49447-2022")</f>
        <v/>
      </c>
      <c r="Y606">
        <f>HYPERLINK("https://klasma.github.io/Logging_2480/tillsynsmail/A 49447-2022 tillsynsbegäran mail.docx", "A 49447-2022")</f>
        <v/>
      </c>
    </row>
    <row r="607" ht="15" customHeight="1">
      <c r="A607" t="inlineStr">
        <is>
          <t>A 49528-2022</t>
        </is>
      </c>
      <c r="B607" s="1" t="n">
        <v>44861</v>
      </c>
      <c r="C607" s="1" t="n">
        <v>45788</v>
      </c>
      <c r="D607" t="inlineStr">
        <is>
          <t>VÄSTERBOTTENS LÄN</t>
        </is>
      </c>
      <c r="E607" t="inlineStr">
        <is>
          <t>ÅSELE</t>
        </is>
      </c>
      <c r="F607" t="inlineStr">
        <is>
          <t>SCA</t>
        </is>
      </c>
      <c r="G607" t="n">
        <v>12.6</v>
      </c>
      <c r="H607" t="n">
        <v>0</v>
      </c>
      <c r="I607" t="n">
        <v>1</v>
      </c>
      <c r="J607" t="n">
        <v>3</v>
      </c>
      <c r="K607" t="n">
        <v>0</v>
      </c>
      <c r="L607" t="n">
        <v>0</v>
      </c>
      <c r="M607" t="n">
        <v>0</v>
      </c>
      <c r="N607" t="n">
        <v>0</v>
      </c>
      <c r="O607" t="n">
        <v>3</v>
      </c>
      <c r="P607" t="n">
        <v>0</v>
      </c>
      <c r="Q607" t="n">
        <v>4</v>
      </c>
      <c r="R607" s="2" t="inlineStr">
        <is>
          <t>Doftskinn
Garnlav
Lunglav
Rävticka</t>
        </is>
      </c>
      <c r="S607">
        <f>HYPERLINK("https://klasma.github.io/Logging_2463/artfynd/A 49528-2022 artfynd.xlsx", "A 49528-2022")</f>
        <v/>
      </c>
      <c r="T607">
        <f>HYPERLINK("https://klasma.github.io/Logging_2463/kartor/A 49528-2022 karta.png", "A 49528-2022")</f>
        <v/>
      </c>
      <c r="V607">
        <f>HYPERLINK("https://klasma.github.io/Logging_2463/klagomål/A 49528-2022 FSC-klagomål.docx", "A 49528-2022")</f>
        <v/>
      </c>
      <c r="W607">
        <f>HYPERLINK("https://klasma.github.io/Logging_2463/klagomålsmail/A 49528-2022 FSC-klagomål mail.docx", "A 49528-2022")</f>
        <v/>
      </c>
      <c r="X607">
        <f>HYPERLINK("https://klasma.github.io/Logging_2463/tillsyn/A 49528-2022 tillsynsbegäran.docx", "A 49528-2022")</f>
        <v/>
      </c>
      <c r="Y607">
        <f>HYPERLINK("https://klasma.github.io/Logging_2463/tillsynsmail/A 49528-2022 tillsynsbegäran mail.docx", "A 49528-2022")</f>
        <v/>
      </c>
    </row>
    <row r="608" ht="15" customHeight="1">
      <c r="A608" t="inlineStr">
        <is>
          <t>A 61036-2022</t>
        </is>
      </c>
      <c r="B608" s="1" t="n">
        <v>44914</v>
      </c>
      <c r="C608" s="1" t="n">
        <v>45788</v>
      </c>
      <c r="D608" t="inlineStr">
        <is>
          <t>VÄSTERBOTTENS LÄN</t>
        </is>
      </c>
      <c r="E608" t="inlineStr">
        <is>
          <t>UMEÅ</t>
        </is>
      </c>
      <c r="G608" t="n">
        <v>6</v>
      </c>
      <c r="H608" t="n">
        <v>1</v>
      </c>
      <c r="I608" t="n">
        <v>1</v>
      </c>
      <c r="J608" t="n">
        <v>3</v>
      </c>
      <c r="K608" t="n">
        <v>0</v>
      </c>
      <c r="L608" t="n">
        <v>0</v>
      </c>
      <c r="M608" t="n">
        <v>0</v>
      </c>
      <c r="N608" t="n">
        <v>0</v>
      </c>
      <c r="O608" t="n">
        <v>3</v>
      </c>
      <c r="P608" t="n">
        <v>0</v>
      </c>
      <c r="Q608" t="n">
        <v>4</v>
      </c>
      <c r="R608" s="2" t="inlineStr">
        <is>
          <t>Garnlav
Granticka
Järpe
Vedticka</t>
        </is>
      </c>
      <c r="S608">
        <f>HYPERLINK("https://klasma.github.io/Logging_2480/artfynd/A 61036-2022 artfynd.xlsx", "A 61036-2022")</f>
        <v/>
      </c>
      <c r="T608">
        <f>HYPERLINK("https://klasma.github.io/Logging_2480/kartor/A 61036-2022 karta.png", "A 61036-2022")</f>
        <v/>
      </c>
      <c r="V608">
        <f>HYPERLINK("https://klasma.github.io/Logging_2480/klagomål/A 61036-2022 FSC-klagomål.docx", "A 61036-2022")</f>
        <v/>
      </c>
      <c r="W608">
        <f>HYPERLINK("https://klasma.github.io/Logging_2480/klagomålsmail/A 61036-2022 FSC-klagomål mail.docx", "A 61036-2022")</f>
        <v/>
      </c>
      <c r="X608">
        <f>HYPERLINK("https://klasma.github.io/Logging_2480/tillsyn/A 61036-2022 tillsynsbegäran.docx", "A 61036-2022")</f>
        <v/>
      </c>
      <c r="Y608">
        <f>HYPERLINK("https://klasma.github.io/Logging_2480/tillsynsmail/A 61036-2022 tillsynsbegäran mail.docx", "A 61036-2022")</f>
        <v/>
      </c>
      <c r="Z608">
        <f>HYPERLINK("https://klasma.github.io/Logging_2480/fåglar/A 61036-2022 prioriterade fågelarter.docx", "A 61036-2022")</f>
        <v/>
      </c>
    </row>
    <row r="609" ht="15" customHeight="1">
      <c r="A609" t="inlineStr">
        <is>
          <t>A 684-2023</t>
        </is>
      </c>
      <c r="B609" s="1" t="n">
        <v>44925</v>
      </c>
      <c r="C609" s="1" t="n">
        <v>45788</v>
      </c>
      <c r="D609" t="inlineStr">
        <is>
          <t>VÄSTERBOTTENS LÄN</t>
        </is>
      </c>
      <c r="E609" t="inlineStr">
        <is>
          <t>UMEÅ</t>
        </is>
      </c>
      <c r="G609" t="n">
        <v>22.6</v>
      </c>
      <c r="H609" t="n">
        <v>3</v>
      </c>
      <c r="I609" t="n">
        <v>0</v>
      </c>
      <c r="J609" t="n">
        <v>4</v>
      </c>
      <c r="K609" t="n">
        <v>0</v>
      </c>
      <c r="L609" t="n">
        <v>0</v>
      </c>
      <c r="M609" t="n">
        <v>0</v>
      </c>
      <c r="N609" t="n">
        <v>0</v>
      </c>
      <c r="O609" t="n">
        <v>4</v>
      </c>
      <c r="P609" t="n">
        <v>0</v>
      </c>
      <c r="Q609" t="n">
        <v>4</v>
      </c>
      <c r="R609" s="2" t="inlineStr">
        <is>
          <t>Kolflarnlav
Spillkråka
Talltita
Tretåig hackspett</t>
        </is>
      </c>
      <c r="S609">
        <f>HYPERLINK("https://klasma.github.io/Logging_2480/artfynd/A 684-2023 artfynd.xlsx", "A 684-2023")</f>
        <v/>
      </c>
      <c r="T609">
        <f>HYPERLINK("https://klasma.github.io/Logging_2480/kartor/A 684-2023 karta.png", "A 684-2023")</f>
        <v/>
      </c>
      <c r="V609">
        <f>HYPERLINK("https://klasma.github.io/Logging_2480/klagomål/A 684-2023 FSC-klagomål.docx", "A 684-2023")</f>
        <v/>
      </c>
      <c r="W609">
        <f>HYPERLINK("https://klasma.github.io/Logging_2480/klagomålsmail/A 684-2023 FSC-klagomål mail.docx", "A 684-2023")</f>
        <v/>
      </c>
      <c r="X609">
        <f>HYPERLINK("https://klasma.github.io/Logging_2480/tillsyn/A 684-2023 tillsynsbegäran.docx", "A 684-2023")</f>
        <v/>
      </c>
      <c r="Y609">
        <f>HYPERLINK("https://klasma.github.io/Logging_2480/tillsynsmail/A 684-2023 tillsynsbegäran mail.docx", "A 684-2023")</f>
        <v/>
      </c>
      <c r="Z609">
        <f>HYPERLINK("https://klasma.github.io/Logging_2480/fåglar/A 684-2023 prioriterade fågelarter.docx", "A 684-2023")</f>
        <v/>
      </c>
    </row>
    <row r="610" ht="15" customHeight="1">
      <c r="A610" t="inlineStr">
        <is>
          <t>A 2937-2023</t>
        </is>
      </c>
      <c r="B610" s="1" t="n">
        <v>44945</v>
      </c>
      <c r="C610" s="1" t="n">
        <v>45788</v>
      </c>
      <c r="D610" t="inlineStr">
        <is>
          <t>VÄSTERBOTTENS LÄN</t>
        </is>
      </c>
      <c r="E610" t="inlineStr">
        <is>
          <t>LYCKSELE</t>
        </is>
      </c>
      <c r="F610" t="inlineStr">
        <is>
          <t>Kyrkan</t>
        </is>
      </c>
      <c r="G610" t="n">
        <v>17.4</v>
      </c>
      <c r="H610" t="n">
        <v>0</v>
      </c>
      <c r="I610" t="n">
        <v>1</v>
      </c>
      <c r="J610" t="n">
        <v>3</v>
      </c>
      <c r="K610" t="n">
        <v>0</v>
      </c>
      <c r="L610" t="n">
        <v>0</v>
      </c>
      <c r="M610" t="n">
        <v>0</v>
      </c>
      <c r="N610" t="n">
        <v>0</v>
      </c>
      <c r="O610" t="n">
        <v>3</v>
      </c>
      <c r="P610" t="n">
        <v>0</v>
      </c>
      <c r="Q610" t="n">
        <v>4</v>
      </c>
      <c r="R610" s="2" t="inlineStr">
        <is>
          <t>Blå taggsvamp
Lunglav
Orange taggsvamp
Dropptaggsvamp</t>
        </is>
      </c>
      <c r="S610">
        <f>HYPERLINK("https://klasma.github.io/Logging_2481/artfynd/A 2937-2023 artfynd.xlsx", "A 2937-2023")</f>
        <v/>
      </c>
      <c r="T610">
        <f>HYPERLINK("https://klasma.github.io/Logging_2481/kartor/A 2937-2023 karta.png", "A 2937-2023")</f>
        <v/>
      </c>
      <c r="V610">
        <f>HYPERLINK("https://klasma.github.io/Logging_2481/klagomål/A 2937-2023 FSC-klagomål.docx", "A 2937-2023")</f>
        <v/>
      </c>
      <c r="W610">
        <f>HYPERLINK("https://klasma.github.io/Logging_2481/klagomålsmail/A 2937-2023 FSC-klagomål mail.docx", "A 2937-2023")</f>
        <v/>
      </c>
      <c r="X610">
        <f>HYPERLINK("https://klasma.github.io/Logging_2481/tillsyn/A 2937-2023 tillsynsbegäran.docx", "A 2937-2023")</f>
        <v/>
      </c>
      <c r="Y610">
        <f>HYPERLINK("https://klasma.github.io/Logging_2481/tillsynsmail/A 2937-2023 tillsynsbegäran mail.docx", "A 2937-2023")</f>
        <v/>
      </c>
    </row>
    <row r="611" ht="15" customHeight="1">
      <c r="A611" t="inlineStr">
        <is>
          <t>A 4479-2023</t>
        </is>
      </c>
      <c r="B611" s="1" t="n">
        <v>44956</v>
      </c>
      <c r="C611" s="1" t="n">
        <v>45788</v>
      </c>
      <c r="D611" t="inlineStr">
        <is>
          <t>VÄSTERBOTTENS LÄN</t>
        </is>
      </c>
      <c r="E611" t="inlineStr">
        <is>
          <t>VÄNNÄS</t>
        </is>
      </c>
      <c r="G611" t="n">
        <v>6.2</v>
      </c>
      <c r="H611" t="n">
        <v>3</v>
      </c>
      <c r="I611" t="n">
        <v>2</v>
      </c>
      <c r="J611" t="n">
        <v>1</v>
      </c>
      <c r="K611" t="n">
        <v>1</v>
      </c>
      <c r="L611" t="n">
        <v>0</v>
      </c>
      <c r="M611" t="n">
        <v>0</v>
      </c>
      <c r="N611" t="n">
        <v>0</v>
      </c>
      <c r="O611" t="n">
        <v>2</v>
      </c>
      <c r="P611" t="n">
        <v>1</v>
      </c>
      <c r="Q611" t="n">
        <v>4</v>
      </c>
      <c r="R611" s="2" t="inlineStr">
        <is>
          <t>Långskägg
Tretåig hackspett
Plattlummer
Ögonpyrola</t>
        </is>
      </c>
      <c r="S611">
        <f>HYPERLINK("https://klasma.github.io/Logging_2460/artfynd/A 4479-2023 artfynd.xlsx", "A 4479-2023")</f>
        <v/>
      </c>
      <c r="T611">
        <f>HYPERLINK("https://klasma.github.io/Logging_2460/kartor/A 4479-2023 karta.png", "A 4479-2023")</f>
        <v/>
      </c>
      <c r="V611">
        <f>HYPERLINK("https://klasma.github.io/Logging_2460/klagomål/A 4479-2023 FSC-klagomål.docx", "A 4479-2023")</f>
        <v/>
      </c>
      <c r="W611">
        <f>HYPERLINK("https://klasma.github.io/Logging_2460/klagomålsmail/A 4479-2023 FSC-klagomål mail.docx", "A 4479-2023")</f>
        <v/>
      </c>
      <c r="X611">
        <f>HYPERLINK("https://klasma.github.io/Logging_2460/tillsyn/A 4479-2023 tillsynsbegäran.docx", "A 4479-2023")</f>
        <v/>
      </c>
      <c r="Y611">
        <f>HYPERLINK("https://klasma.github.io/Logging_2460/tillsynsmail/A 4479-2023 tillsynsbegäran mail.docx", "A 4479-2023")</f>
        <v/>
      </c>
      <c r="Z611">
        <f>HYPERLINK("https://klasma.github.io/Logging_2460/fåglar/A 4479-2023 prioriterade fågelarter.docx", "A 4479-2023")</f>
        <v/>
      </c>
    </row>
    <row r="612" ht="15" customHeight="1">
      <c r="A612" t="inlineStr">
        <is>
          <t>A 4828-2023</t>
        </is>
      </c>
      <c r="B612" s="1" t="n">
        <v>44957</v>
      </c>
      <c r="C612" s="1" t="n">
        <v>45788</v>
      </c>
      <c r="D612" t="inlineStr">
        <is>
          <t>VÄSTERBOTTENS LÄN</t>
        </is>
      </c>
      <c r="E612" t="inlineStr">
        <is>
          <t>DOROTEA</t>
        </is>
      </c>
      <c r="G612" t="n">
        <v>8</v>
      </c>
      <c r="H612" t="n">
        <v>1</v>
      </c>
      <c r="I612" t="n">
        <v>1</v>
      </c>
      <c r="J612" t="n">
        <v>3</v>
      </c>
      <c r="K612" t="n">
        <v>0</v>
      </c>
      <c r="L612" t="n">
        <v>0</v>
      </c>
      <c r="M612" t="n">
        <v>0</v>
      </c>
      <c r="N612" t="n">
        <v>0</v>
      </c>
      <c r="O612" t="n">
        <v>3</v>
      </c>
      <c r="P612" t="n">
        <v>0</v>
      </c>
      <c r="Q612" t="n">
        <v>4</v>
      </c>
      <c r="R612" s="2" t="inlineStr">
        <is>
          <t>Garnlav
Granticka
Vitgrynig nållav
Spindelblomster</t>
        </is>
      </c>
      <c r="S612">
        <f>HYPERLINK("https://klasma.github.io/Logging_2425/artfynd/A 4828-2023 artfynd.xlsx", "A 4828-2023")</f>
        <v/>
      </c>
      <c r="T612">
        <f>HYPERLINK("https://klasma.github.io/Logging_2425/kartor/A 4828-2023 karta.png", "A 4828-2023")</f>
        <v/>
      </c>
      <c r="V612">
        <f>HYPERLINK("https://klasma.github.io/Logging_2425/klagomål/A 4828-2023 FSC-klagomål.docx", "A 4828-2023")</f>
        <v/>
      </c>
      <c r="W612">
        <f>HYPERLINK("https://klasma.github.io/Logging_2425/klagomålsmail/A 4828-2023 FSC-klagomål mail.docx", "A 4828-2023")</f>
        <v/>
      </c>
      <c r="X612">
        <f>HYPERLINK("https://klasma.github.io/Logging_2425/tillsyn/A 4828-2023 tillsynsbegäran.docx", "A 4828-2023")</f>
        <v/>
      </c>
      <c r="Y612">
        <f>HYPERLINK("https://klasma.github.io/Logging_2425/tillsynsmail/A 4828-2023 tillsynsbegäran mail.docx", "A 4828-2023")</f>
        <v/>
      </c>
    </row>
    <row r="613" ht="15" customHeight="1">
      <c r="A613" t="inlineStr">
        <is>
          <t>A 5700-2023</t>
        </is>
      </c>
      <c r="B613" s="1" t="n">
        <v>44960</v>
      </c>
      <c r="C613" s="1" t="n">
        <v>45788</v>
      </c>
      <c r="D613" t="inlineStr">
        <is>
          <t>VÄSTERBOTTENS LÄN</t>
        </is>
      </c>
      <c r="E613" t="inlineStr">
        <is>
          <t>ÅSELE</t>
        </is>
      </c>
      <c r="F613" t="inlineStr">
        <is>
          <t>SCA</t>
        </is>
      </c>
      <c r="G613" t="n">
        <v>5.1</v>
      </c>
      <c r="H613" t="n">
        <v>0</v>
      </c>
      <c r="I613" t="n">
        <v>0</v>
      </c>
      <c r="J613" t="n">
        <v>4</v>
      </c>
      <c r="K613" t="n">
        <v>0</v>
      </c>
      <c r="L613" t="n">
        <v>0</v>
      </c>
      <c r="M613" t="n">
        <v>0</v>
      </c>
      <c r="N613" t="n">
        <v>0</v>
      </c>
      <c r="O613" t="n">
        <v>4</v>
      </c>
      <c r="P613" t="n">
        <v>0</v>
      </c>
      <c r="Q613" t="n">
        <v>4</v>
      </c>
      <c r="R613" s="2" t="inlineStr">
        <is>
          <t>Gammelgransskål
Garnlav
Granticka
Lunglav</t>
        </is>
      </c>
      <c r="S613">
        <f>HYPERLINK("https://klasma.github.io/Logging_2463/artfynd/A 5700-2023 artfynd.xlsx", "A 5700-2023")</f>
        <v/>
      </c>
      <c r="T613">
        <f>HYPERLINK("https://klasma.github.io/Logging_2463/kartor/A 5700-2023 karta.png", "A 5700-2023")</f>
        <v/>
      </c>
      <c r="V613">
        <f>HYPERLINK("https://klasma.github.io/Logging_2463/klagomål/A 5700-2023 FSC-klagomål.docx", "A 5700-2023")</f>
        <v/>
      </c>
      <c r="W613">
        <f>HYPERLINK("https://klasma.github.io/Logging_2463/klagomålsmail/A 5700-2023 FSC-klagomål mail.docx", "A 5700-2023")</f>
        <v/>
      </c>
      <c r="X613">
        <f>HYPERLINK("https://klasma.github.io/Logging_2463/tillsyn/A 5700-2023 tillsynsbegäran.docx", "A 5700-2023")</f>
        <v/>
      </c>
      <c r="Y613">
        <f>HYPERLINK("https://klasma.github.io/Logging_2463/tillsynsmail/A 5700-2023 tillsynsbegäran mail.docx", "A 5700-2023")</f>
        <v/>
      </c>
    </row>
    <row r="614" ht="15" customHeight="1">
      <c r="A614" t="inlineStr">
        <is>
          <t>A 10764-2023</t>
        </is>
      </c>
      <c r="B614" s="1" t="n">
        <v>44988</v>
      </c>
      <c r="C614" s="1" t="n">
        <v>45788</v>
      </c>
      <c r="D614" t="inlineStr">
        <is>
          <t>VÄSTERBOTTENS LÄN</t>
        </is>
      </c>
      <c r="E614" t="inlineStr">
        <is>
          <t>NORDMALING</t>
        </is>
      </c>
      <c r="G614" t="n">
        <v>13.3</v>
      </c>
      <c r="H614" t="n">
        <v>0</v>
      </c>
      <c r="I614" t="n">
        <v>0</v>
      </c>
      <c r="J614" t="n">
        <v>4</v>
      </c>
      <c r="K614" t="n">
        <v>0</v>
      </c>
      <c r="L614" t="n">
        <v>0</v>
      </c>
      <c r="M614" t="n">
        <v>0</v>
      </c>
      <c r="N614" t="n">
        <v>0</v>
      </c>
      <c r="O614" t="n">
        <v>4</v>
      </c>
      <c r="P614" t="n">
        <v>0</v>
      </c>
      <c r="Q614" t="n">
        <v>4</v>
      </c>
      <c r="R614" s="2" t="inlineStr">
        <is>
          <t>Kolflarnlav
Mörk kolflarnlav
Reliktbock
Violettgrå tagellav</t>
        </is>
      </c>
      <c r="S614">
        <f>HYPERLINK("https://klasma.github.io/Logging_2401/artfynd/A 10764-2023 artfynd.xlsx", "A 10764-2023")</f>
        <v/>
      </c>
      <c r="T614">
        <f>HYPERLINK("https://klasma.github.io/Logging_2401/kartor/A 10764-2023 karta.png", "A 10764-2023")</f>
        <v/>
      </c>
      <c r="V614">
        <f>HYPERLINK("https://klasma.github.io/Logging_2401/klagomål/A 10764-2023 FSC-klagomål.docx", "A 10764-2023")</f>
        <v/>
      </c>
      <c r="W614">
        <f>HYPERLINK("https://klasma.github.io/Logging_2401/klagomålsmail/A 10764-2023 FSC-klagomål mail.docx", "A 10764-2023")</f>
        <v/>
      </c>
      <c r="X614">
        <f>HYPERLINK("https://klasma.github.io/Logging_2401/tillsyn/A 10764-2023 tillsynsbegäran.docx", "A 10764-2023")</f>
        <v/>
      </c>
      <c r="Y614">
        <f>HYPERLINK("https://klasma.github.io/Logging_2401/tillsynsmail/A 10764-2023 tillsynsbegäran mail.docx", "A 10764-2023")</f>
        <v/>
      </c>
    </row>
    <row r="615" ht="15" customHeight="1">
      <c r="A615" t="inlineStr">
        <is>
          <t>A 18950-2023</t>
        </is>
      </c>
      <c r="B615" s="1" t="n">
        <v>45043</v>
      </c>
      <c r="C615" s="1" t="n">
        <v>45788</v>
      </c>
      <c r="D615" t="inlineStr">
        <is>
          <t>VÄSTERBOTTENS LÄN</t>
        </is>
      </c>
      <c r="E615" t="inlineStr">
        <is>
          <t>BJURHOLM</t>
        </is>
      </c>
      <c r="G615" t="n">
        <v>5.6</v>
      </c>
      <c r="H615" t="n">
        <v>0</v>
      </c>
      <c r="I615" t="n">
        <v>1</v>
      </c>
      <c r="J615" t="n">
        <v>3</v>
      </c>
      <c r="K615" t="n">
        <v>0</v>
      </c>
      <c r="L615" t="n">
        <v>0</v>
      </c>
      <c r="M615" t="n">
        <v>0</v>
      </c>
      <c r="N615" t="n">
        <v>0</v>
      </c>
      <c r="O615" t="n">
        <v>3</v>
      </c>
      <c r="P615" t="n">
        <v>0</v>
      </c>
      <c r="Q615" t="n">
        <v>4</v>
      </c>
      <c r="R615" s="2" t="inlineStr">
        <is>
          <t>Ullticka
Vedskivlav
Violettgrå tagellav
Skuggblåslav</t>
        </is>
      </c>
      <c r="S615">
        <f>HYPERLINK("https://klasma.github.io/Logging_2403/artfynd/A 18950-2023 artfynd.xlsx", "A 18950-2023")</f>
        <v/>
      </c>
      <c r="T615">
        <f>HYPERLINK("https://klasma.github.io/Logging_2403/kartor/A 18950-2023 karta.png", "A 18950-2023")</f>
        <v/>
      </c>
      <c r="V615">
        <f>HYPERLINK("https://klasma.github.io/Logging_2403/klagomål/A 18950-2023 FSC-klagomål.docx", "A 18950-2023")</f>
        <v/>
      </c>
      <c r="W615">
        <f>HYPERLINK("https://klasma.github.io/Logging_2403/klagomålsmail/A 18950-2023 FSC-klagomål mail.docx", "A 18950-2023")</f>
        <v/>
      </c>
      <c r="X615">
        <f>HYPERLINK("https://klasma.github.io/Logging_2403/tillsyn/A 18950-2023 tillsynsbegäran.docx", "A 18950-2023")</f>
        <v/>
      </c>
      <c r="Y615">
        <f>HYPERLINK("https://klasma.github.io/Logging_2403/tillsynsmail/A 18950-2023 tillsynsbegäran mail.docx", "A 18950-2023")</f>
        <v/>
      </c>
    </row>
    <row r="616" ht="15" customHeight="1">
      <c r="A616" t="inlineStr">
        <is>
          <t>A 21068-2023</t>
        </is>
      </c>
      <c r="B616" s="1" t="n">
        <v>45057</v>
      </c>
      <c r="C616" s="1" t="n">
        <v>45788</v>
      </c>
      <c r="D616" t="inlineStr">
        <is>
          <t>VÄSTERBOTTENS LÄN</t>
        </is>
      </c>
      <c r="E616" t="inlineStr">
        <is>
          <t>LYCKSELE</t>
        </is>
      </c>
      <c r="G616" t="n">
        <v>4.3</v>
      </c>
      <c r="H616" t="n">
        <v>3</v>
      </c>
      <c r="I616" t="n">
        <v>1</v>
      </c>
      <c r="J616" t="n">
        <v>1</v>
      </c>
      <c r="K616" t="n">
        <v>0</v>
      </c>
      <c r="L616" t="n">
        <v>0</v>
      </c>
      <c r="M616" t="n">
        <v>0</v>
      </c>
      <c r="N616" t="n">
        <v>0</v>
      </c>
      <c r="O616" t="n">
        <v>1</v>
      </c>
      <c r="P616" t="n">
        <v>0</v>
      </c>
      <c r="Q616" t="n">
        <v>4</v>
      </c>
      <c r="R616" s="2" t="inlineStr">
        <is>
          <t>Lunglav
Spindelblomster
Fläcknycklar
Revlummer</t>
        </is>
      </c>
      <c r="S616">
        <f>HYPERLINK("https://klasma.github.io/Logging_2481/artfynd/A 21068-2023 artfynd.xlsx", "A 21068-2023")</f>
        <v/>
      </c>
      <c r="T616">
        <f>HYPERLINK("https://klasma.github.io/Logging_2481/kartor/A 21068-2023 karta.png", "A 21068-2023")</f>
        <v/>
      </c>
      <c r="V616">
        <f>HYPERLINK("https://klasma.github.io/Logging_2481/klagomål/A 21068-2023 FSC-klagomål.docx", "A 21068-2023")</f>
        <v/>
      </c>
      <c r="W616">
        <f>HYPERLINK("https://klasma.github.io/Logging_2481/klagomålsmail/A 21068-2023 FSC-klagomål mail.docx", "A 21068-2023")</f>
        <v/>
      </c>
      <c r="X616">
        <f>HYPERLINK("https://klasma.github.io/Logging_2481/tillsyn/A 21068-2023 tillsynsbegäran.docx", "A 21068-2023")</f>
        <v/>
      </c>
      <c r="Y616">
        <f>HYPERLINK("https://klasma.github.io/Logging_2481/tillsynsmail/A 21068-2023 tillsynsbegäran mail.docx", "A 21068-2023")</f>
        <v/>
      </c>
    </row>
    <row r="617" ht="15" customHeight="1">
      <c r="A617" t="inlineStr">
        <is>
          <t>A 31198-2023</t>
        </is>
      </c>
      <c r="B617" s="1" t="n">
        <v>45113</v>
      </c>
      <c r="C617" s="1" t="n">
        <v>45788</v>
      </c>
      <c r="D617" t="inlineStr">
        <is>
          <t>VÄSTERBOTTENS LÄN</t>
        </is>
      </c>
      <c r="E617" t="inlineStr">
        <is>
          <t>VILHELMINA</t>
        </is>
      </c>
      <c r="F617" t="inlineStr">
        <is>
          <t>SCA</t>
        </is>
      </c>
      <c r="G617" t="n">
        <v>4.2</v>
      </c>
      <c r="H617" t="n">
        <v>1</v>
      </c>
      <c r="I617" t="n">
        <v>0</v>
      </c>
      <c r="J617" t="n">
        <v>4</v>
      </c>
      <c r="K617" t="n">
        <v>0</v>
      </c>
      <c r="L617" t="n">
        <v>0</v>
      </c>
      <c r="M617" t="n">
        <v>0</v>
      </c>
      <c r="N617" t="n">
        <v>0</v>
      </c>
      <c r="O617" t="n">
        <v>4</v>
      </c>
      <c r="P617" t="n">
        <v>0</v>
      </c>
      <c r="Q617" t="n">
        <v>4</v>
      </c>
      <c r="R617" s="2" t="inlineStr">
        <is>
          <t>Garnlav
Knottrig blåslav
Tretåig hackspett
Vitgrynig nållav</t>
        </is>
      </c>
      <c r="S617">
        <f>HYPERLINK("https://klasma.github.io/Logging_2462/artfynd/A 31198-2023 artfynd.xlsx", "A 31198-2023")</f>
        <v/>
      </c>
      <c r="T617">
        <f>HYPERLINK("https://klasma.github.io/Logging_2462/kartor/A 31198-2023 karta.png", "A 31198-2023")</f>
        <v/>
      </c>
      <c r="V617">
        <f>HYPERLINK("https://klasma.github.io/Logging_2462/klagomål/A 31198-2023 FSC-klagomål.docx", "A 31198-2023")</f>
        <v/>
      </c>
      <c r="W617">
        <f>HYPERLINK("https://klasma.github.io/Logging_2462/klagomålsmail/A 31198-2023 FSC-klagomål mail.docx", "A 31198-2023")</f>
        <v/>
      </c>
      <c r="X617">
        <f>HYPERLINK("https://klasma.github.io/Logging_2462/tillsyn/A 31198-2023 tillsynsbegäran.docx", "A 31198-2023")</f>
        <v/>
      </c>
      <c r="Y617">
        <f>HYPERLINK("https://klasma.github.io/Logging_2462/tillsynsmail/A 31198-2023 tillsynsbegäran mail.docx", "A 31198-2023")</f>
        <v/>
      </c>
      <c r="Z617">
        <f>HYPERLINK("https://klasma.github.io/Logging_2462/fåglar/A 31198-2023 prioriterade fågelarter.docx", "A 31198-2023")</f>
        <v/>
      </c>
    </row>
    <row r="618" ht="15" customHeight="1">
      <c r="A618" t="inlineStr">
        <is>
          <t>A 32211-2023</t>
        </is>
      </c>
      <c r="B618" s="1" t="n">
        <v>45119</v>
      </c>
      <c r="C618" s="1" t="n">
        <v>45788</v>
      </c>
      <c r="D618" t="inlineStr">
        <is>
          <t>VÄSTERBOTTENS LÄN</t>
        </is>
      </c>
      <c r="E618" t="inlineStr">
        <is>
          <t>ROBERTSFORS</t>
        </is>
      </c>
      <c r="F618" t="inlineStr">
        <is>
          <t>SCA</t>
        </is>
      </c>
      <c r="G618" t="n">
        <v>14.4</v>
      </c>
      <c r="H618" t="n">
        <v>1</v>
      </c>
      <c r="I618" t="n">
        <v>0</v>
      </c>
      <c r="J618" t="n">
        <v>3</v>
      </c>
      <c r="K618" t="n">
        <v>1</v>
      </c>
      <c r="L618" t="n">
        <v>0</v>
      </c>
      <c r="M618" t="n">
        <v>0</v>
      </c>
      <c r="N618" t="n">
        <v>0</v>
      </c>
      <c r="O618" t="n">
        <v>4</v>
      </c>
      <c r="P618" t="n">
        <v>1</v>
      </c>
      <c r="Q618" t="n">
        <v>4</v>
      </c>
      <c r="R618" s="2" t="inlineStr">
        <is>
          <t>Gräddporing
Granticka
Tallticka
Talltita</t>
        </is>
      </c>
      <c r="S618">
        <f>HYPERLINK("https://klasma.github.io/Logging_2409/artfynd/A 32211-2023 artfynd.xlsx", "A 32211-2023")</f>
        <v/>
      </c>
      <c r="T618">
        <f>HYPERLINK("https://klasma.github.io/Logging_2409/kartor/A 32211-2023 karta.png", "A 32211-2023")</f>
        <v/>
      </c>
      <c r="V618">
        <f>HYPERLINK("https://klasma.github.io/Logging_2409/klagomål/A 32211-2023 FSC-klagomål.docx", "A 32211-2023")</f>
        <v/>
      </c>
      <c r="W618">
        <f>HYPERLINK("https://klasma.github.io/Logging_2409/klagomålsmail/A 32211-2023 FSC-klagomål mail.docx", "A 32211-2023")</f>
        <v/>
      </c>
      <c r="X618">
        <f>HYPERLINK("https://klasma.github.io/Logging_2409/tillsyn/A 32211-2023 tillsynsbegäran.docx", "A 32211-2023")</f>
        <v/>
      </c>
      <c r="Y618">
        <f>HYPERLINK("https://klasma.github.io/Logging_2409/tillsynsmail/A 32211-2023 tillsynsbegäran mail.docx", "A 32211-2023")</f>
        <v/>
      </c>
      <c r="Z618">
        <f>HYPERLINK("https://klasma.github.io/Logging_2409/fåglar/A 32211-2023 prioriterade fågelarter.docx", "A 32211-2023")</f>
        <v/>
      </c>
    </row>
    <row r="619" ht="15" customHeight="1">
      <c r="A619" t="inlineStr">
        <is>
          <t>A 34033-2023</t>
        </is>
      </c>
      <c r="B619" s="1" t="n">
        <v>45124</v>
      </c>
      <c r="C619" s="1" t="n">
        <v>45788</v>
      </c>
      <c r="D619" t="inlineStr">
        <is>
          <t>VÄSTERBOTTENS LÄN</t>
        </is>
      </c>
      <c r="E619" t="inlineStr">
        <is>
          <t>SORSELE</t>
        </is>
      </c>
      <c r="G619" t="n">
        <v>53.4</v>
      </c>
      <c r="H619" t="n">
        <v>1</v>
      </c>
      <c r="I619" t="n">
        <v>0</v>
      </c>
      <c r="J619" t="n">
        <v>3</v>
      </c>
      <c r="K619" t="n">
        <v>0</v>
      </c>
      <c r="L619" t="n">
        <v>0</v>
      </c>
      <c r="M619" t="n">
        <v>0</v>
      </c>
      <c r="N619" t="n">
        <v>0</v>
      </c>
      <c r="O619" t="n">
        <v>3</v>
      </c>
      <c r="P619" t="n">
        <v>0</v>
      </c>
      <c r="Q619" t="n">
        <v>4</v>
      </c>
      <c r="R619" s="2" t="inlineStr">
        <is>
          <t>Blanksvart spiklav
Blågrå svartspik
Garnlav
Tjäder</t>
        </is>
      </c>
      <c r="S619">
        <f>HYPERLINK("https://klasma.github.io/Logging_2422/artfynd/A 34033-2023 artfynd.xlsx", "A 34033-2023")</f>
        <v/>
      </c>
      <c r="T619">
        <f>HYPERLINK("https://klasma.github.io/Logging_2422/kartor/A 34033-2023 karta.png", "A 34033-2023")</f>
        <v/>
      </c>
      <c r="V619">
        <f>HYPERLINK("https://klasma.github.io/Logging_2422/klagomål/A 34033-2023 FSC-klagomål.docx", "A 34033-2023")</f>
        <v/>
      </c>
      <c r="W619">
        <f>HYPERLINK("https://klasma.github.io/Logging_2422/klagomålsmail/A 34033-2023 FSC-klagomål mail.docx", "A 34033-2023")</f>
        <v/>
      </c>
      <c r="X619">
        <f>HYPERLINK("https://klasma.github.io/Logging_2422/tillsyn/A 34033-2023 tillsynsbegäran.docx", "A 34033-2023")</f>
        <v/>
      </c>
      <c r="Y619">
        <f>HYPERLINK("https://klasma.github.io/Logging_2422/tillsynsmail/A 34033-2023 tillsynsbegäran mail.docx", "A 34033-2023")</f>
        <v/>
      </c>
      <c r="Z619">
        <f>HYPERLINK("https://klasma.github.io/Logging_2422/fåglar/A 34033-2023 prioriterade fågelarter.docx", "A 34033-2023")</f>
        <v/>
      </c>
    </row>
    <row r="620" ht="15" customHeight="1">
      <c r="A620" t="inlineStr">
        <is>
          <t>A 35626-2023</t>
        </is>
      </c>
      <c r="B620" s="1" t="n">
        <v>45147</v>
      </c>
      <c r="C620" s="1" t="n">
        <v>45788</v>
      </c>
      <c r="D620" t="inlineStr">
        <is>
          <t>VÄSTERBOTTENS LÄN</t>
        </is>
      </c>
      <c r="E620" t="inlineStr">
        <is>
          <t>ROBERTSFORS</t>
        </is>
      </c>
      <c r="F620" t="inlineStr">
        <is>
          <t>Holmen skog AB</t>
        </is>
      </c>
      <c r="G620" t="n">
        <v>3.5</v>
      </c>
      <c r="H620" t="n">
        <v>0</v>
      </c>
      <c r="I620" t="n">
        <v>1</v>
      </c>
      <c r="J620" t="n">
        <v>3</v>
      </c>
      <c r="K620" t="n">
        <v>0</v>
      </c>
      <c r="L620" t="n">
        <v>0</v>
      </c>
      <c r="M620" t="n">
        <v>0</v>
      </c>
      <c r="N620" t="n">
        <v>0</v>
      </c>
      <c r="O620" t="n">
        <v>3</v>
      </c>
      <c r="P620" t="n">
        <v>0</v>
      </c>
      <c r="Q620" t="n">
        <v>4</v>
      </c>
      <c r="R620" s="2" t="inlineStr">
        <is>
          <t>Granticka
Ullticka
Violettgrå tagellav
Vedticka</t>
        </is>
      </c>
      <c r="S620">
        <f>HYPERLINK("https://klasma.github.io/Logging_2409/artfynd/A 35626-2023 artfynd.xlsx", "A 35626-2023")</f>
        <v/>
      </c>
      <c r="T620">
        <f>HYPERLINK("https://klasma.github.io/Logging_2409/kartor/A 35626-2023 karta.png", "A 35626-2023")</f>
        <v/>
      </c>
      <c r="U620">
        <f>HYPERLINK("https://klasma.github.io/Logging_2409/knärot/A 35626-2023 karta knärot.png", "A 35626-2023")</f>
        <v/>
      </c>
      <c r="V620">
        <f>HYPERLINK("https://klasma.github.io/Logging_2409/klagomål/A 35626-2023 FSC-klagomål.docx", "A 35626-2023")</f>
        <v/>
      </c>
      <c r="W620">
        <f>HYPERLINK("https://klasma.github.io/Logging_2409/klagomålsmail/A 35626-2023 FSC-klagomål mail.docx", "A 35626-2023")</f>
        <v/>
      </c>
      <c r="X620">
        <f>HYPERLINK("https://klasma.github.io/Logging_2409/tillsyn/A 35626-2023 tillsynsbegäran.docx", "A 35626-2023")</f>
        <v/>
      </c>
      <c r="Y620">
        <f>HYPERLINK("https://klasma.github.io/Logging_2409/tillsynsmail/A 35626-2023 tillsynsbegäran mail.docx", "A 35626-2023")</f>
        <v/>
      </c>
    </row>
    <row r="621" ht="15" customHeight="1">
      <c r="A621" t="inlineStr">
        <is>
          <t>A 35927-2023</t>
        </is>
      </c>
      <c r="B621" s="1" t="n">
        <v>45148</v>
      </c>
      <c r="C621" s="1" t="n">
        <v>45788</v>
      </c>
      <c r="D621" t="inlineStr">
        <is>
          <t>VÄSTERBOTTENS LÄN</t>
        </is>
      </c>
      <c r="E621" t="inlineStr">
        <is>
          <t>VINDELN</t>
        </is>
      </c>
      <c r="G621" t="n">
        <v>7.1</v>
      </c>
      <c r="H621" t="n">
        <v>2</v>
      </c>
      <c r="I621" t="n">
        <v>2</v>
      </c>
      <c r="J621" t="n">
        <v>0</v>
      </c>
      <c r="K621" t="n">
        <v>0</v>
      </c>
      <c r="L621" t="n">
        <v>0</v>
      </c>
      <c r="M621" t="n">
        <v>0</v>
      </c>
      <c r="N621" t="n">
        <v>0</v>
      </c>
      <c r="O621" t="n">
        <v>0</v>
      </c>
      <c r="P621" t="n">
        <v>0</v>
      </c>
      <c r="Q621" t="n">
        <v>4</v>
      </c>
      <c r="R621" s="2" t="inlineStr">
        <is>
          <t>Skinnlav
Stuplav
Fläcknycklar
Nattviol</t>
        </is>
      </c>
      <c r="S621">
        <f>HYPERLINK("https://klasma.github.io/Logging_2404/artfynd/A 35927-2023 artfynd.xlsx", "A 35927-2023")</f>
        <v/>
      </c>
      <c r="T621">
        <f>HYPERLINK("https://klasma.github.io/Logging_2404/kartor/A 35927-2023 karta.png", "A 35927-2023")</f>
        <v/>
      </c>
      <c r="V621">
        <f>HYPERLINK("https://klasma.github.io/Logging_2404/klagomål/A 35927-2023 FSC-klagomål.docx", "A 35927-2023")</f>
        <v/>
      </c>
      <c r="W621">
        <f>HYPERLINK("https://klasma.github.io/Logging_2404/klagomålsmail/A 35927-2023 FSC-klagomål mail.docx", "A 35927-2023")</f>
        <v/>
      </c>
      <c r="X621">
        <f>HYPERLINK("https://klasma.github.io/Logging_2404/tillsyn/A 35927-2023 tillsynsbegäran.docx", "A 35927-2023")</f>
        <v/>
      </c>
      <c r="Y621">
        <f>HYPERLINK("https://klasma.github.io/Logging_2404/tillsynsmail/A 35927-2023 tillsynsbegäran mail.docx", "A 35927-2023")</f>
        <v/>
      </c>
    </row>
    <row r="622" ht="15" customHeight="1">
      <c r="A622" t="inlineStr">
        <is>
          <t>A 36636-2023</t>
        </is>
      </c>
      <c r="B622" s="1" t="n">
        <v>45152</v>
      </c>
      <c r="C622" s="1" t="n">
        <v>45788</v>
      </c>
      <c r="D622" t="inlineStr">
        <is>
          <t>VÄSTERBOTTENS LÄN</t>
        </is>
      </c>
      <c r="E622" t="inlineStr">
        <is>
          <t>LYCKSELE</t>
        </is>
      </c>
      <c r="G622" t="n">
        <v>2.7</v>
      </c>
      <c r="H622" t="n">
        <v>2</v>
      </c>
      <c r="I622" t="n">
        <v>0</v>
      </c>
      <c r="J622" t="n">
        <v>3</v>
      </c>
      <c r="K622" t="n">
        <v>1</v>
      </c>
      <c r="L622" t="n">
        <v>0</v>
      </c>
      <c r="M622" t="n">
        <v>0</v>
      </c>
      <c r="N622" t="n">
        <v>0</v>
      </c>
      <c r="O622" t="n">
        <v>4</v>
      </c>
      <c r="P622" t="n">
        <v>1</v>
      </c>
      <c r="Q622" t="n">
        <v>4</v>
      </c>
      <c r="R622" s="2" t="inlineStr">
        <is>
          <t>Doftticka
Garnlav
Granticka
Spillkråka</t>
        </is>
      </c>
      <c r="S622">
        <f>HYPERLINK("https://klasma.github.io/Logging_2481/artfynd/A 36636-2023 artfynd.xlsx", "A 36636-2023")</f>
        <v/>
      </c>
      <c r="T622">
        <f>HYPERLINK("https://klasma.github.io/Logging_2481/kartor/A 36636-2023 karta.png", "A 36636-2023")</f>
        <v/>
      </c>
      <c r="V622">
        <f>HYPERLINK("https://klasma.github.io/Logging_2481/klagomål/A 36636-2023 FSC-klagomål.docx", "A 36636-2023")</f>
        <v/>
      </c>
      <c r="W622">
        <f>HYPERLINK("https://klasma.github.io/Logging_2481/klagomålsmail/A 36636-2023 FSC-klagomål mail.docx", "A 36636-2023")</f>
        <v/>
      </c>
      <c r="X622">
        <f>HYPERLINK("https://klasma.github.io/Logging_2481/tillsyn/A 36636-2023 tillsynsbegäran.docx", "A 36636-2023")</f>
        <v/>
      </c>
      <c r="Y622">
        <f>HYPERLINK("https://klasma.github.io/Logging_2481/tillsynsmail/A 36636-2023 tillsynsbegäran mail.docx", "A 36636-2023")</f>
        <v/>
      </c>
      <c r="Z622">
        <f>HYPERLINK("https://klasma.github.io/Logging_2481/fåglar/A 36636-2023 prioriterade fågelarter.docx", "A 36636-2023")</f>
        <v/>
      </c>
    </row>
    <row r="623" ht="15" customHeight="1">
      <c r="A623" t="inlineStr">
        <is>
          <t>A 37137-2023</t>
        </is>
      </c>
      <c r="B623" s="1" t="n">
        <v>45155</v>
      </c>
      <c r="C623" s="1" t="n">
        <v>45788</v>
      </c>
      <c r="D623" t="inlineStr">
        <is>
          <t>VÄSTERBOTTENS LÄN</t>
        </is>
      </c>
      <c r="E623" t="inlineStr">
        <is>
          <t>MALÅ</t>
        </is>
      </c>
      <c r="F623" t="inlineStr">
        <is>
          <t>Kyrkan</t>
        </is>
      </c>
      <c r="G623" t="n">
        <v>17.6</v>
      </c>
      <c r="H623" t="n">
        <v>1</v>
      </c>
      <c r="I623" t="n">
        <v>0</v>
      </c>
      <c r="J623" t="n">
        <v>3</v>
      </c>
      <c r="K623" t="n">
        <v>1</v>
      </c>
      <c r="L623" t="n">
        <v>0</v>
      </c>
      <c r="M623" t="n">
        <v>0</v>
      </c>
      <c r="N623" t="n">
        <v>0</v>
      </c>
      <c r="O623" t="n">
        <v>4</v>
      </c>
      <c r="P623" t="n">
        <v>1</v>
      </c>
      <c r="Q623" t="n">
        <v>4</v>
      </c>
      <c r="R623" s="2" t="inlineStr">
        <is>
          <t>Doftticka
Garnlav
Lunglav
Skrovellav</t>
        </is>
      </c>
      <c r="S623">
        <f>HYPERLINK("https://klasma.github.io/Logging_2418/artfynd/A 37137-2023 artfynd.xlsx", "A 37137-2023")</f>
        <v/>
      </c>
      <c r="T623">
        <f>HYPERLINK("https://klasma.github.io/Logging_2418/kartor/A 37137-2023 karta.png", "A 37137-2023")</f>
        <v/>
      </c>
      <c r="V623">
        <f>HYPERLINK("https://klasma.github.io/Logging_2418/klagomål/A 37137-2023 FSC-klagomål.docx", "A 37137-2023")</f>
        <v/>
      </c>
      <c r="W623">
        <f>HYPERLINK("https://klasma.github.io/Logging_2418/klagomålsmail/A 37137-2023 FSC-klagomål mail.docx", "A 37137-2023")</f>
        <v/>
      </c>
      <c r="X623">
        <f>HYPERLINK("https://klasma.github.io/Logging_2418/tillsyn/A 37137-2023 tillsynsbegäran.docx", "A 37137-2023")</f>
        <v/>
      </c>
      <c r="Y623">
        <f>HYPERLINK("https://klasma.github.io/Logging_2418/tillsynsmail/A 37137-2023 tillsynsbegäran mail.docx", "A 37137-2023")</f>
        <v/>
      </c>
    </row>
    <row r="624" ht="15" customHeight="1">
      <c r="A624" t="inlineStr">
        <is>
          <t>A 37477-2023</t>
        </is>
      </c>
      <c r="B624" s="1" t="n">
        <v>45156</v>
      </c>
      <c r="C624" s="1" t="n">
        <v>45788</v>
      </c>
      <c r="D624" t="inlineStr">
        <is>
          <t>VÄSTERBOTTENS LÄN</t>
        </is>
      </c>
      <c r="E624" t="inlineStr">
        <is>
          <t>SKELLEFTEÅ</t>
        </is>
      </c>
      <c r="G624" t="n">
        <v>6.3</v>
      </c>
      <c r="H624" t="n">
        <v>0</v>
      </c>
      <c r="I624" t="n">
        <v>0</v>
      </c>
      <c r="J624" t="n">
        <v>4</v>
      </c>
      <c r="K624" t="n">
        <v>0</v>
      </c>
      <c r="L624" t="n">
        <v>0</v>
      </c>
      <c r="M624" t="n">
        <v>0</v>
      </c>
      <c r="N624" t="n">
        <v>0</v>
      </c>
      <c r="O624" t="n">
        <v>4</v>
      </c>
      <c r="P624" t="n">
        <v>0</v>
      </c>
      <c r="Q624" t="n">
        <v>4</v>
      </c>
      <c r="R624" s="2" t="inlineStr">
        <is>
          <t>Garnlav
Lunglav
Ullticka
Violettgrå tagellav</t>
        </is>
      </c>
      <c r="S624">
        <f>HYPERLINK("https://klasma.github.io/Logging_2482/artfynd/A 37477-2023 artfynd.xlsx", "A 37477-2023")</f>
        <v/>
      </c>
      <c r="T624">
        <f>HYPERLINK("https://klasma.github.io/Logging_2482/kartor/A 37477-2023 karta.png", "A 37477-2023")</f>
        <v/>
      </c>
      <c r="V624">
        <f>HYPERLINK("https://klasma.github.io/Logging_2482/klagomål/A 37477-2023 FSC-klagomål.docx", "A 37477-2023")</f>
        <v/>
      </c>
      <c r="W624">
        <f>HYPERLINK("https://klasma.github.io/Logging_2482/klagomålsmail/A 37477-2023 FSC-klagomål mail.docx", "A 37477-2023")</f>
        <v/>
      </c>
      <c r="X624">
        <f>HYPERLINK("https://klasma.github.io/Logging_2482/tillsyn/A 37477-2023 tillsynsbegäran.docx", "A 37477-2023")</f>
        <v/>
      </c>
      <c r="Y624">
        <f>HYPERLINK("https://klasma.github.io/Logging_2482/tillsynsmail/A 37477-2023 tillsynsbegäran mail.docx", "A 37477-2023")</f>
        <v/>
      </c>
    </row>
    <row r="625" ht="15" customHeight="1">
      <c r="A625" t="inlineStr">
        <is>
          <t>A 40122-2023</t>
        </is>
      </c>
      <c r="B625" s="1" t="n">
        <v>45169</v>
      </c>
      <c r="C625" s="1" t="n">
        <v>45788</v>
      </c>
      <c r="D625" t="inlineStr">
        <is>
          <t>VÄSTERBOTTENS LÄN</t>
        </is>
      </c>
      <c r="E625" t="inlineStr">
        <is>
          <t>ROBERTSFORS</t>
        </is>
      </c>
      <c r="G625" t="n">
        <v>10.8</v>
      </c>
      <c r="H625" t="n">
        <v>0</v>
      </c>
      <c r="I625" t="n">
        <v>1</v>
      </c>
      <c r="J625" t="n">
        <v>2</v>
      </c>
      <c r="K625" t="n">
        <v>1</v>
      </c>
      <c r="L625" t="n">
        <v>0</v>
      </c>
      <c r="M625" t="n">
        <v>0</v>
      </c>
      <c r="N625" t="n">
        <v>0</v>
      </c>
      <c r="O625" t="n">
        <v>3</v>
      </c>
      <c r="P625" t="n">
        <v>1</v>
      </c>
      <c r="Q625" t="n">
        <v>4</v>
      </c>
      <c r="R625" s="2" t="inlineStr">
        <is>
          <t>Goliatmusseron
Gammelgransskål
Orange taggsvamp
Dropptaggsvamp</t>
        </is>
      </c>
      <c r="S625">
        <f>HYPERLINK("https://klasma.github.io/Logging_2409/artfynd/A 40122-2023 artfynd.xlsx", "A 40122-2023")</f>
        <v/>
      </c>
      <c r="T625">
        <f>HYPERLINK("https://klasma.github.io/Logging_2409/kartor/A 40122-2023 karta.png", "A 40122-2023")</f>
        <v/>
      </c>
      <c r="V625">
        <f>HYPERLINK("https://klasma.github.io/Logging_2409/klagomål/A 40122-2023 FSC-klagomål.docx", "A 40122-2023")</f>
        <v/>
      </c>
      <c r="W625">
        <f>HYPERLINK("https://klasma.github.io/Logging_2409/klagomålsmail/A 40122-2023 FSC-klagomål mail.docx", "A 40122-2023")</f>
        <v/>
      </c>
      <c r="X625">
        <f>HYPERLINK("https://klasma.github.io/Logging_2409/tillsyn/A 40122-2023 tillsynsbegäran.docx", "A 40122-2023")</f>
        <v/>
      </c>
      <c r="Y625">
        <f>HYPERLINK("https://klasma.github.io/Logging_2409/tillsynsmail/A 40122-2023 tillsynsbegäran mail.docx", "A 40122-2023")</f>
        <v/>
      </c>
    </row>
    <row r="626" ht="15" customHeight="1">
      <c r="A626" t="inlineStr">
        <is>
          <t>A 44382-2023</t>
        </is>
      </c>
      <c r="B626" s="1" t="n">
        <v>45189</v>
      </c>
      <c r="C626" s="1" t="n">
        <v>45788</v>
      </c>
      <c r="D626" t="inlineStr">
        <is>
          <t>VÄSTERBOTTENS LÄN</t>
        </is>
      </c>
      <c r="E626" t="inlineStr">
        <is>
          <t>VILHELMINA</t>
        </is>
      </c>
      <c r="F626" t="inlineStr">
        <is>
          <t>SCA</t>
        </is>
      </c>
      <c r="G626" t="n">
        <v>2.8</v>
      </c>
      <c r="H626" t="n">
        <v>1</v>
      </c>
      <c r="I626" t="n">
        <v>1</v>
      </c>
      <c r="J626" t="n">
        <v>3</v>
      </c>
      <c r="K626" t="n">
        <v>0</v>
      </c>
      <c r="L626" t="n">
        <v>0</v>
      </c>
      <c r="M626" t="n">
        <v>0</v>
      </c>
      <c r="N626" t="n">
        <v>0</v>
      </c>
      <c r="O626" t="n">
        <v>3</v>
      </c>
      <c r="P626" t="n">
        <v>0</v>
      </c>
      <c r="Q626" t="n">
        <v>4</v>
      </c>
      <c r="R626" s="2" t="inlineStr">
        <is>
          <t>Garnlav
Lunglav
Talltita
Stuplav</t>
        </is>
      </c>
      <c r="S626">
        <f>HYPERLINK("https://klasma.github.io/Logging_2462/artfynd/A 44382-2023 artfynd.xlsx", "A 44382-2023")</f>
        <v/>
      </c>
      <c r="T626">
        <f>HYPERLINK("https://klasma.github.io/Logging_2462/kartor/A 44382-2023 karta.png", "A 44382-2023")</f>
        <v/>
      </c>
      <c r="V626">
        <f>HYPERLINK("https://klasma.github.io/Logging_2462/klagomål/A 44382-2023 FSC-klagomål.docx", "A 44382-2023")</f>
        <v/>
      </c>
      <c r="W626">
        <f>HYPERLINK("https://klasma.github.io/Logging_2462/klagomålsmail/A 44382-2023 FSC-klagomål mail.docx", "A 44382-2023")</f>
        <v/>
      </c>
      <c r="X626">
        <f>HYPERLINK("https://klasma.github.io/Logging_2462/tillsyn/A 44382-2023 tillsynsbegäran.docx", "A 44382-2023")</f>
        <v/>
      </c>
      <c r="Y626">
        <f>HYPERLINK("https://klasma.github.io/Logging_2462/tillsynsmail/A 44382-2023 tillsynsbegäran mail.docx", "A 44382-2023")</f>
        <v/>
      </c>
      <c r="Z626">
        <f>HYPERLINK("https://klasma.github.io/Logging_2462/fåglar/A 44382-2023 prioriterade fågelarter.docx", "A 44382-2023")</f>
        <v/>
      </c>
    </row>
    <row r="627" ht="15" customHeight="1">
      <c r="A627" t="inlineStr">
        <is>
          <t>A 46092-2023</t>
        </is>
      </c>
      <c r="B627" s="1" t="n">
        <v>45190</v>
      </c>
      <c r="C627" s="1" t="n">
        <v>45788</v>
      </c>
      <c r="D627" t="inlineStr">
        <is>
          <t>VÄSTERBOTTENS LÄN</t>
        </is>
      </c>
      <c r="E627" t="inlineStr">
        <is>
          <t>SKELLEFTEÅ</t>
        </is>
      </c>
      <c r="G627" t="n">
        <v>8.699999999999999</v>
      </c>
      <c r="H627" t="n">
        <v>0</v>
      </c>
      <c r="I627" t="n">
        <v>3</v>
      </c>
      <c r="J627" t="n">
        <v>1</v>
      </c>
      <c r="K627" t="n">
        <v>0</v>
      </c>
      <c r="L627" t="n">
        <v>0</v>
      </c>
      <c r="M627" t="n">
        <v>0</v>
      </c>
      <c r="N627" t="n">
        <v>0</v>
      </c>
      <c r="O627" t="n">
        <v>1</v>
      </c>
      <c r="P627" t="n">
        <v>0</v>
      </c>
      <c r="Q627" t="n">
        <v>4</v>
      </c>
      <c r="R627" s="2" t="inlineStr">
        <is>
          <t>Violettgrå tagellav
Luddlav
Skinnlav
Stuplav</t>
        </is>
      </c>
      <c r="S627">
        <f>HYPERLINK("https://klasma.github.io/Logging_2482/artfynd/A 46092-2023 artfynd.xlsx", "A 46092-2023")</f>
        <v/>
      </c>
      <c r="T627">
        <f>HYPERLINK("https://klasma.github.io/Logging_2482/kartor/A 46092-2023 karta.png", "A 46092-2023")</f>
        <v/>
      </c>
      <c r="V627">
        <f>HYPERLINK("https://klasma.github.io/Logging_2482/klagomål/A 46092-2023 FSC-klagomål.docx", "A 46092-2023")</f>
        <v/>
      </c>
      <c r="W627">
        <f>HYPERLINK("https://klasma.github.io/Logging_2482/klagomålsmail/A 46092-2023 FSC-klagomål mail.docx", "A 46092-2023")</f>
        <v/>
      </c>
      <c r="X627">
        <f>HYPERLINK("https://klasma.github.io/Logging_2482/tillsyn/A 46092-2023 tillsynsbegäran.docx", "A 46092-2023")</f>
        <v/>
      </c>
      <c r="Y627">
        <f>HYPERLINK("https://klasma.github.io/Logging_2482/tillsynsmail/A 46092-2023 tillsynsbegäran mail.docx", "A 46092-2023")</f>
        <v/>
      </c>
    </row>
    <row r="628" ht="15" customHeight="1">
      <c r="A628" t="inlineStr">
        <is>
          <t>A 45691-2023</t>
        </is>
      </c>
      <c r="B628" s="1" t="n">
        <v>45195</v>
      </c>
      <c r="C628" s="1" t="n">
        <v>45788</v>
      </c>
      <c r="D628" t="inlineStr">
        <is>
          <t>VÄSTERBOTTENS LÄN</t>
        </is>
      </c>
      <c r="E628" t="inlineStr">
        <is>
          <t>UMEÅ</t>
        </is>
      </c>
      <c r="F628" t="inlineStr">
        <is>
          <t>Holmen skog AB</t>
        </is>
      </c>
      <c r="G628" t="n">
        <v>5.1</v>
      </c>
      <c r="H628" t="n">
        <v>1</v>
      </c>
      <c r="I628" t="n">
        <v>1</v>
      </c>
      <c r="J628" t="n">
        <v>3</v>
      </c>
      <c r="K628" t="n">
        <v>0</v>
      </c>
      <c r="L628" t="n">
        <v>0</v>
      </c>
      <c r="M628" t="n">
        <v>0</v>
      </c>
      <c r="N628" t="n">
        <v>0</v>
      </c>
      <c r="O628" t="n">
        <v>3</v>
      </c>
      <c r="P628" t="n">
        <v>0</v>
      </c>
      <c r="Q628" t="n">
        <v>4</v>
      </c>
      <c r="R628" s="2" t="inlineStr">
        <is>
          <t>Garnlav
Tretåig hackspett
Vaddporing
Stuplav</t>
        </is>
      </c>
      <c r="S628">
        <f>HYPERLINK("https://klasma.github.io/Logging_2480/artfynd/A 45691-2023 artfynd.xlsx", "A 45691-2023")</f>
        <v/>
      </c>
      <c r="T628">
        <f>HYPERLINK("https://klasma.github.io/Logging_2480/kartor/A 45691-2023 karta.png", "A 45691-2023")</f>
        <v/>
      </c>
      <c r="V628">
        <f>HYPERLINK("https://klasma.github.io/Logging_2480/klagomål/A 45691-2023 FSC-klagomål.docx", "A 45691-2023")</f>
        <v/>
      </c>
      <c r="W628">
        <f>HYPERLINK("https://klasma.github.io/Logging_2480/klagomålsmail/A 45691-2023 FSC-klagomål mail.docx", "A 45691-2023")</f>
        <v/>
      </c>
      <c r="X628">
        <f>HYPERLINK("https://klasma.github.io/Logging_2480/tillsyn/A 45691-2023 tillsynsbegäran.docx", "A 45691-2023")</f>
        <v/>
      </c>
      <c r="Y628">
        <f>HYPERLINK("https://klasma.github.io/Logging_2480/tillsynsmail/A 45691-2023 tillsynsbegäran mail.docx", "A 45691-2023")</f>
        <v/>
      </c>
      <c r="Z628">
        <f>HYPERLINK("https://klasma.github.io/Logging_2480/fåglar/A 45691-2023 prioriterade fågelarter.docx", "A 45691-2023")</f>
        <v/>
      </c>
    </row>
    <row r="629" ht="15" customHeight="1">
      <c r="A629" t="inlineStr">
        <is>
          <t>A 49026-2023</t>
        </is>
      </c>
      <c r="B629" s="1" t="n">
        <v>45209</v>
      </c>
      <c r="C629" s="1" t="n">
        <v>45788</v>
      </c>
      <c r="D629" t="inlineStr">
        <is>
          <t>VÄSTERBOTTENS LÄN</t>
        </is>
      </c>
      <c r="E629" t="inlineStr">
        <is>
          <t>UMEÅ</t>
        </is>
      </c>
      <c r="G629" t="n">
        <v>3.7</v>
      </c>
      <c r="H629" t="n">
        <v>2</v>
      </c>
      <c r="I629" t="n">
        <v>0</v>
      </c>
      <c r="J629" t="n">
        <v>4</v>
      </c>
      <c r="K629" t="n">
        <v>0</v>
      </c>
      <c r="L629" t="n">
        <v>0</v>
      </c>
      <c r="M629" t="n">
        <v>0</v>
      </c>
      <c r="N629" t="n">
        <v>0</v>
      </c>
      <c r="O629" t="n">
        <v>4</v>
      </c>
      <c r="P629" t="n">
        <v>0</v>
      </c>
      <c r="Q629" t="n">
        <v>4</v>
      </c>
      <c r="R629" s="2" t="inlineStr">
        <is>
          <t>Granticka
Spillkråka
Talltita
Ullticka</t>
        </is>
      </c>
      <c r="S629">
        <f>HYPERLINK("https://klasma.github.io/Logging_2480/artfynd/A 49026-2023 artfynd.xlsx", "A 49026-2023")</f>
        <v/>
      </c>
      <c r="T629">
        <f>HYPERLINK("https://klasma.github.io/Logging_2480/kartor/A 49026-2023 karta.png", "A 49026-2023")</f>
        <v/>
      </c>
      <c r="V629">
        <f>HYPERLINK("https://klasma.github.io/Logging_2480/klagomål/A 49026-2023 FSC-klagomål.docx", "A 49026-2023")</f>
        <v/>
      </c>
      <c r="W629">
        <f>HYPERLINK("https://klasma.github.io/Logging_2480/klagomålsmail/A 49026-2023 FSC-klagomål mail.docx", "A 49026-2023")</f>
        <v/>
      </c>
      <c r="X629">
        <f>HYPERLINK("https://klasma.github.io/Logging_2480/tillsyn/A 49026-2023 tillsynsbegäran.docx", "A 49026-2023")</f>
        <v/>
      </c>
      <c r="Y629">
        <f>HYPERLINK("https://klasma.github.io/Logging_2480/tillsynsmail/A 49026-2023 tillsynsbegäran mail.docx", "A 49026-2023")</f>
        <v/>
      </c>
      <c r="Z629">
        <f>HYPERLINK("https://klasma.github.io/Logging_2480/fåglar/A 49026-2023 prioriterade fågelarter.docx", "A 49026-2023")</f>
        <v/>
      </c>
    </row>
    <row r="630" ht="15" customHeight="1">
      <c r="A630" t="inlineStr">
        <is>
          <t>A 50665-2023</t>
        </is>
      </c>
      <c r="B630" s="1" t="n">
        <v>45217</v>
      </c>
      <c r="C630" s="1" t="n">
        <v>45788</v>
      </c>
      <c r="D630" t="inlineStr">
        <is>
          <t>VÄSTERBOTTENS LÄN</t>
        </is>
      </c>
      <c r="E630" t="inlineStr">
        <is>
          <t>VINDELN</t>
        </is>
      </c>
      <c r="F630" t="inlineStr">
        <is>
          <t>Holmen skog AB</t>
        </is>
      </c>
      <c r="G630" t="n">
        <v>7.3</v>
      </c>
      <c r="H630" t="n">
        <v>3</v>
      </c>
      <c r="I630" t="n">
        <v>0</v>
      </c>
      <c r="J630" t="n">
        <v>1</v>
      </c>
      <c r="K630" t="n">
        <v>1</v>
      </c>
      <c r="L630" t="n">
        <v>0</v>
      </c>
      <c r="M630" t="n">
        <v>0</v>
      </c>
      <c r="N630" t="n">
        <v>0</v>
      </c>
      <c r="O630" t="n">
        <v>2</v>
      </c>
      <c r="P630" t="n">
        <v>1</v>
      </c>
      <c r="Q630" t="n">
        <v>4</v>
      </c>
      <c r="R630" s="2" t="inlineStr">
        <is>
          <t>Turkos blåvinge
Höstlåsbräken
Fläcknycklar
Nattviol</t>
        </is>
      </c>
      <c r="S630">
        <f>HYPERLINK("https://klasma.github.io/Logging_2404/artfynd/A 50665-2023 artfynd.xlsx", "A 50665-2023")</f>
        <v/>
      </c>
      <c r="T630">
        <f>HYPERLINK("https://klasma.github.io/Logging_2404/kartor/A 50665-2023 karta.png", "A 50665-2023")</f>
        <v/>
      </c>
      <c r="V630">
        <f>HYPERLINK("https://klasma.github.io/Logging_2404/klagomål/A 50665-2023 FSC-klagomål.docx", "A 50665-2023")</f>
        <v/>
      </c>
      <c r="W630">
        <f>HYPERLINK("https://klasma.github.io/Logging_2404/klagomålsmail/A 50665-2023 FSC-klagomål mail.docx", "A 50665-2023")</f>
        <v/>
      </c>
      <c r="X630">
        <f>HYPERLINK("https://klasma.github.io/Logging_2404/tillsyn/A 50665-2023 tillsynsbegäran.docx", "A 50665-2023")</f>
        <v/>
      </c>
      <c r="Y630">
        <f>HYPERLINK("https://klasma.github.io/Logging_2404/tillsynsmail/A 50665-2023 tillsynsbegäran mail.docx", "A 50665-2023")</f>
        <v/>
      </c>
    </row>
    <row r="631" ht="15" customHeight="1">
      <c r="A631" t="inlineStr">
        <is>
          <t>A 52791-2023</t>
        </is>
      </c>
      <c r="B631" s="1" t="n">
        <v>45219</v>
      </c>
      <c r="C631" s="1" t="n">
        <v>45788</v>
      </c>
      <c r="D631" t="inlineStr">
        <is>
          <t>VÄSTERBOTTENS LÄN</t>
        </is>
      </c>
      <c r="E631" t="inlineStr">
        <is>
          <t>NORDMALING</t>
        </is>
      </c>
      <c r="G631" t="n">
        <v>5.6</v>
      </c>
      <c r="H631" t="n">
        <v>1</v>
      </c>
      <c r="I631" t="n">
        <v>1</v>
      </c>
      <c r="J631" t="n">
        <v>3</v>
      </c>
      <c r="K631" t="n">
        <v>0</v>
      </c>
      <c r="L631" t="n">
        <v>0</v>
      </c>
      <c r="M631" t="n">
        <v>0</v>
      </c>
      <c r="N631" t="n">
        <v>0</v>
      </c>
      <c r="O631" t="n">
        <v>3</v>
      </c>
      <c r="P631" t="n">
        <v>0</v>
      </c>
      <c r="Q631" t="n">
        <v>4</v>
      </c>
      <c r="R631" s="2" t="inlineStr">
        <is>
          <t>Gammelgransskål
Garnlav
Spillkråka
Vedticka</t>
        </is>
      </c>
      <c r="S631">
        <f>HYPERLINK("https://klasma.github.io/Logging_2401/artfynd/A 52791-2023 artfynd.xlsx", "A 52791-2023")</f>
        <v/>
      </c>
      <c r="T631">
        <f>HYPERLINK("https://klasma.github.io/Logging_2401/kartor/A 52791-2023 karta.png", "A 52791-2023")</f>
        <v/>
      </c>
      <c r="V631">
        <f>HYPERLINK("https://klasma.github.io/Logging_2401/klagomål/A 52791-2023 FSC-klagomål.docx", "A 52791-2023")</f>
        <v/>
      </c>
      <c r="W631">
        <f>HYPERLINK("https://klasma.github.io/Logging_2401/klagomålsmail/A 52791-2023 FSC-klagomål mail.docx", "A 52791-2023")</f>
        <v/>
      </c>
      <c r="X631">
        <f>HYPERLINK("https://klasma.github.io/Logging_2401/tillsyn/A 52791-2023 tillsynsbegäran.docx", "A 52791-2023")</f>
        <v/>
      </c>
      <c r="Y631">
        <f>HYPERLINK("https://klasma.github.io/Logging_2401/tillsynsmail/A 52791-2023 tillsynsbegäran mail.docx", "A 52791-2023")</f>
        <v/>
      </c>
      <c r="Z631">
        <f>HYPERLINK("https://klasma.github.io/Logging_2401/fåglar/A 52791-2023 prioriterade fågelarter.docx", "A 52791-2023")</f>
        <v/>
      </c>
    </row>
    <row r="632" ht="15" customHeight="1">
      <c r="A632" t="inlineStr">
        <is>
          <t>A 52634-2023</t>
        </is>
      </c>
      <c r="B632" s="1" t="n">
        <v>45225</v>
      </c>
      <c r="C632" s="1" t="n">
        <v>45788</v>
      </c>
      <c r="D632" t="inlineStr">
        <is>
          <t>VÄSTERBOTTENS LÄN</t>
        </is>
      </c>
      <c r="E632" t="inlineStr">
        <is>
          <t>VINDELN</t>
        </is>
      </c>
      <c r="G632" t="n">
        <v>1</v>
      </c>
      <c r="H632" t="n">
        <v>0</v>
      </c>
      <c r="I632" t="n">
        <v>0</v>
      </c>
      <c r="J632" t="n">
        <v>4</v>
      </c>
      <c r="K632" t="n">
        <v>0</v>
      </c>
      <c r="L632" t="n">
        <v>0</v>
      </c>
      <c r="M632" t="n">
        <v>0</v>
      </c>
      <c r="N632" t="n">
        <v>0</v>
      </c>
      <c r="O632" t="n">
        <v>4</v>
      </c>
      <c r="P632" t="n">
        <v>0</v>
      </c>
      <c r="Q632" t="n">
        <v>4</v>
      </c>
      <c r="R632" s="2" t="inlineStr">
        <is>
          <t>Garnlav
Granticka
Kortskaftad ärgspik
Vitgrynig nållav</t>
        </is>
      </c>
      <c r="S632">
        <f>HYPERLINK("https://klasma.github.io/Logging_2404/artfynd/A 52634-2023 artfynd.xlsx", "A 52634-2023")</f>
        <v/>
      </c>
      <c r="T632">
        <f>HYPERLINK("https://klasma.github.io/Logging_2404/kartor/A 52634-2023 karta.png", "A 52634-2023")</f>
        <v/>
      </c>
      <c r="V632">
        <f>HYPERLINK("https://klasma.github.io/Logging_2404/klagomål/A 52634-2023 FSC-klagomål.docx", "A 52634-2023")</f>
        <v/>
      </c>
      <c r="W632">
        <f>HYPERLINK("https://klasma.github.io/Logging_2404/klagomålsmail/A 52634-2023 FSC-klagomål mail.docx", "A 52634-2023")</f>
        <v/>
      </c>
      <c r="X632">
        <f>HYPERLINK("https://klasma.github.io/Logging_2404/tillsyn/A 52634-2023 tillsynsbegäran.docx", "A 52634-2023")</f>
        <v/>
      </c>
      <c r="Y632">
        <f>HYPERLINK("https://klasma.github.io/Logging_2404/tillsynsmail/A 52634-2023 tillsynsbegäran mail.docx", "A 52634-2023")</f>
        <v/>
      </c>
    </row>
    <row r="633" ht="15" customHeight="1">
      <c r="A633" t="inlineStr">
        <is>
          <t>A 53793-2023</t>
        </is>
      </c>
      <c r="B633" s="1" t="n">
        <v>45231</v>
      </c>
      <c r="C633" s="1" t="n">
        <v>45788</v>
      </c>
      <c r="D633" t="inlineStr">
        <is>
          <t>VÄSTERBOTTENS LÄN</t>
        </is>
      </c>
      <c r="E633" t="inlineStr">
        <is>
          <t>LYCKSELE</t>
        </is>
      </c>
      <c r="F633" t="inlineStr">
        <is>
          <t>Sveaskog</t>
        </is>
      </c>
      <c r="G633" t="n">
        <v>5.7</v>
      </c>
      <c r="H633" t="n">
        <v>0</v>
      </c>
      <c r="I633" t="n">
        <v>1</v>
      </c>
      <c r="J633" t="n">
        <v>3</v>
      </c>
      <c r="K633" t="n">
        <v>0</v>
      </c>
      <c r="L633" t="n">
        <v>0</v>
      </c>
      <c r="M633" t="n">
        <v>0</v>
      </c>
      <c r="N633" t="n">
        <v>0</v>
      </c>
      <c r="O633" t="n">
        <v>3</v>
      </c>
      <c r="P633" t="n">
        <v>0</v>
      </c>
      <c r="Q633" t="n">
        <v>4</v>
      </c>
      <c r="R633" s="2" t="inlineStr">
        <is>
          <t>Blå taggsvamp
Lunglav
Violmussling
Dropptaggsvamp</t>
        </is>
      </c>
      <c r="S633">
        <f>HYPERLINK("https://klasma.github.io/Logging_2481/artfynd/A 53793-2023 artfynd.xlsx", "A 53793-2023")</f>
        <v/>
      </c>
      <c r="T633">
        <f>HYPERLINK("https://klasma.github.io/Logging_2481/kartor/A 53793-2023 karta.png", "A 53793-2023")</f>
        <v/>
      </c>
      <c r="V633">
        <f>HYPERLINK("https://klasma.github.io/Logging_2481/klagomål/A 53793-2023 FSC-klagomål.docx", "A 53793-2023")</f>
        <v/>
      </c>
      <c r="W633">
        <f>HYPERLINK("https://klasma.github.io/Logging_2481/klagomålsmail/A 53793-2023 FSC-klagomål mail.docx", "A 53793-2023")</f>
        <v/>
      </c>
      <c r="X633">
        <f>HYPERLINK("https://klasma.github.io/Logging_2481/tillsyn/A 53793-2023 tillsynsbegäran.docx", "A 53793-2023")</f>
        <v/>
      </c>
      <c r="Y633">
        <f>HYPERLINK("https://klasma.github.io/Logging_2481/tillsynsmail/A 53793-2023 tillsynsbegäran mail.docx", "A 53793-2023")</f>
        <v/>
      </c>
    </row>
    <row r="634" ht="15" customHeight="1">
      <c r="A634" t="inlineStr">
        <is>
          <t>A 61748-2023</t>
        </is>
      </c>
      <c r="B634" s="1" t="n">
        <v>45264</v>
      </c>
      <c r="C634" s="1" t="n">
        <v>45788</v>
      </c>
      <c r="D634" t="inlineStr">
        <is>
          <t>VÄSTERBOTTENS LÄN</t>
        </is>
      </c>
      <c r="E634" t="inlineStr">
        <is>
          <t>BJURHOLM</t>
        </is>
      </c>
      <c r="G634" t="n">
        <v>5.9</v>
      </c>
      <c r="H634" t="n">
        <v>0</v>
      </c>
      <c r="I634" t="n">
        <v>1</v>
      </c>
      <c r="J634" t="n">
        <v>3</v>
      </c>
      <c r="K634" t="n">
        <v>0</v>
      </c>
      <c r="L634" t="n">
        <v>0</v>
      </c>
      <c r="M634" t="n">
        <v>0</v>
      </c>
      <c r="N634" t="n">
        <v>0</v>
      </c>
      <c r="O634" t="n">
        <v>3</v>
      </c>
      <c r="P634" t="n">
        <v>0</v>
      </c>
      <c r="Q634" t="n">
        <v>4</v>
      </c>
      <c r="R634" s="2" t="inlineStr">
        <is>
          <t>Garnlav
Granticka
Gränsticka
Vedticka</t>
        </is>
      </c>
      <c r="S634">
        <f>HYPERLINK("https://klasma.github.io/Logging_2403/artfynd/A 61748-2023 artfynd.xlsx", "A 61748-2023")</f>
        <v/>
      </c>
      <c r="T634">
        <f>HYPERLINK("https://klasma.github.io/Logging_2403/kartor/A 61748-2023 karta.png", "A 61748-2023")</f>
        <v/>
      </c>
      <c r="V634">
        <f>HYPERLINK("https://klasma.github.io/Logging_2403/klagomål/A 61748-2023 FSC-klagomål.docx", "A 61748-2023")</f>
        <v/>
      </c>
      <c r="W634">
        <f>HYPERLINK("https://klasma.github.io/Logging_2403/klagomålsmail/A 61748-2023 FSC-klagomål mail.docx", "A 61748-2023")</f>
        <v/>
      </c>
      <c r="X634">
        <f>HYPERLINK("https://klasma.github.io/Logging_2403/tillsyn/A 61748-2023 tillsynsbegäran.docx", "A 61748-2023")</f>
        <v/>
      </c>
      <c r="Y634">
        <f>HYPERLINK("https://klasma.github.io/Logging_2403/tillsynsmail/A 61748-2023 tillsynsbegäran mail.docx", "A 61748-2023")</f>
        <v/>
      </c>
    </row>
    <row r="635" ht="15" customHeight="1">
      <c r="A635" t="inlineStr">
        <is>
          <t>A 62393-2023</t>
        </is>
      </c>
      <c r="B635" s="1" t="n">
        <v>45268</v>
      </c>
      <c r="C635" s="1" t="n">
        <v>45788</v>
      </c>
      <c r="D635" t="inlineStr">
        <is>
          <t>VÄSTERBOTTENS LÄN</t>
        </is>
      </c>
      <c r="E635" t="inlineStr">
        <is>
          <t>SKELLEFTEÅ</t>
        </is>
      </c>
      <c r="F635" t="inlineStr">
        <is>
          <t>Sveaskog</t>
        </is>
      </c>
      <c r="G635" t="n">
        <v>6.7</v>
      </c>
      <c r="H635" t="n">
        <v>0</v>
      </c>
      <c r="I635" t="n">
        <v>1</v>
      </c>
      <c r="J635" t="n">
        <v>3</v>
      </c>
      <c r="K635" t="n">
        <v>0</v>
      </c>
      <c r="L635" t="n">
        <v>0</v>
      </c>
      <c r="M635" t="n">
        <v>0</v>
      </c>
      <c r="N635" t="n">
        <v>0</v>
      </c>
      <c r="O635" t="n">
        <v>3</v>
      </c>
      <c r="P635" t="n">
        <v>0</v>
      </c>
      <c r="Q635" t="n">
        <v>4</v>
      </c>
      <c r="R635" s="2" t="inlineStr">
        <is>
          <t>Garnlav
Lunglav
Violettgrå tagellav
Bårdlav</t>
        </is>
      </c>
      <c r="S635">
        <f>HYPERLINK("https://klasma.github.io/Logging_2482/artfynd/A 62393-2023 artfynd.xlsx", "A 62393-2023")</f>
        <v/>
      </c>
      <c r="T635">
        <f>HYPERLINK("https://klasma.github.io/Logging_2482/kartor/A 62393-2023 karta.png", "A 62393-2023")</f>
        <v/>
      </c>
      <c r="V635">
        <f>HYPERLINK("https://klasma.github.io/Logging_2482/klagomål/A 62393-2023 FSC-klagomål.docx", "A 62393-2023")</f>
        <v/>
      </c>
      <c r="W635">
        <f>HYPERLINK("https://klasma.github.io/Logging_2482/klagomålsmail/A 62393-2023 FSC-klagomål mail.docx", "A 62393-2023")</f>
        <v/>
      </c>
      <c r="X635">
        <f>HYPERLINK("https://klasma.github.io/Logging_2482/tillsyn/A 62393-2023 tillsynsbegäran.docx", "A 62393-2023")</f>
        <v/>
      </c>
      <c r="Y635">
        <f>HYPERLINK("https://klasma.github.io/Logging_2482/tillsynsmail/A 62393-2023 tillsynsbegäran mail.docx", "A 62393-2023")</f>
        <v/>
      </c>
    </row>
    <row r="636" ht="15" customHeight="1">
      <c r="A636" t="inlineStr">
        <is>
          <t>A 693-2024</t>
        </is>
      </c>
      <c r="B636" s="1" t="n">
        <v>45300</v>
      </c>
      <c r="C636" s="1" t="n">
        <v>45788</v>
      </c>
      <c r="D636" t="inlineStr">
        <is>
          <t>VÄSTERBOTTENS LÄN</t>
        </is>
      </c>
      <c r="E636" t="inlineStr">
        <is>
          <t>STORUMAN</t>
        </is>
      </c>
      <c r="G636" t="n">
        <v>17.7</v>
      </c>
      <c r="H636" t="n">
        <v>1</v>
      </c>
      <c r="I636" t="n">
        <v>1</v>
      </c>
      <c r="J636" t="n">
        <v>3</v>
      </c>
      <c r="K636" t="n">
        <v>0</v>
      </c>
      <c r="L636" t="n">
        <v>0</v>
      </c>
      <c r="M636" t="n">
        <v>0</v>
      </c>
      <c r="N636" t="n">
        <v>0</v>
      </c>
      <c r="O636" t="n">
        <v>3</v>
      </c>
      <c r="P636" t="n">
        <v>0</v>
      </c>
      <c r="Q636" t="n">
        <v>4</v>
      </c>
      <c r="R636" s="2" t="inlineStr">
        <is>
          <t>Harticka
Tretåig hackspett
Ullticka
Trådticka</t>
        </is>
      </c>
      <c r="S636">
        <f>HYPERLINK("https://klasma.github.io/Logging_2421/artfynd/A 693-2024 artfynd.xlsx", "A 693-2024")</f>
        <v/>
      </c>
      <c r="T636">
        <f>HYPERLINK("https://klasma.github.io/Logging_2421/kartor/A 693-2024 karta.png", "A 693-2024")</f>
        <v/>
      </c>
      <c r="V636">
        <f>HYPERLINK("https://klasma.github.io/Logging_2421/klagomål/A 693-2024 FSC-klagomål.docx", "A 693-2024")</f>
        <v/>
      </c>
      <c r="W636">
        <f>HYPERLINK("https://klasma.github.io/Logging_2421/klagomålsmail/A 693-2024 FSC-klagomål mail.docx", "A 693-2024")</f>
        <v/>
      </c>
      <c r="X636">
        <f>HYPERLINK("https://klasma.github.io/Logging_2421/tillsyn/A 693-2024 tillsynsbegäran.docx", "A 693-2024")</f>
        <v/>
      </c>
      <c r="Y636">
        <f>HYPERLINK("https://klasma.github.io/Logging_2421/tillsynsmail/A 693-2024 tillsynsbegäran mail.docx", "A 693-2024")</f>
        <v/>
      </c>
      <c r="Z636">
        <f>HYPERLINK("https://klasma.github.io/Logging_2421/fåglar/A 693-2024 prioriterade fågelarter.docx", "A 693-2024")</f>
        <v/>
      </c>
    </row>
    <row r="637" ht="15" customHeight="1">
      <c r="A637" t="inlineStr">
        <is>
          <t>A 2057-2024</t>
        </is>
      </c>
      <c r="B637" s="1" t="n">
        <v>45308</v>
      </c>
      <c r="C637" s="1" t="n">
        <v>45788</v>
      </c>
      <c r="D637" t="inlineStr">
        <is>
          <t>VÄSTERBOTTENS LÄN</t>
        </is>
      </c>
      <c r="E637" t="inlineStr">
        <is>
          <t>SKELLEFTEÅ</t>
        </is>
      </c>
      <c r="G637" t="n">
        <v>3.5</v>
      </c>
      <c r="H637" t="n">
        <v>1</v>
      </c>
      <c r="I637" t="n">
        <v>0</v>
      </c>
      <c r="J637" t="n">
        <v>4</v>
      </c>
      <c r="K637" t="n">
        <v>0</v>
      </c>
      <c r="L637" t="n">
        <v>0</v>
      </c>
      <c r="M637" t="n">
        <v>0</v>
      </c>
      <c r="N637" t="n">
        <v>0</v>
      </c>
      <c r="O637" t="n">
        <v>4</v>
      </c>
      <c r="P637" t="n">
        <v>0</v>
      </c>
      <c r="Q637" t="n">
        <v>4</v>
      </c>
      <c r="R637" s="2" t="inlineStr">
        <is>
          <t>Blanksvart spiklav
Blå taggsvamp
Garnlav
Spillkråka</t>
        </is>
      </c>
      <c r="S637">
        <f>HYPERLINK("https://klasma.github.io/Logging_2482/artfynd/A 2057-2024 artfynd.xlsx", "A 2057-2024")</f>
        <v/>
      </c>
      <c r="T637">
        <f>HYPERLINK("https://klasma.github.io/Logging_2482/kartor/A 2057-2024 karta.png", "A 2057-2024")</f>
        <v/>
      </c>
      <c r="V637">
        <f>HYPERLINK("https://klasma.github.io/Logging_2482/klagomål/A 2057-2024 FSC-klagomål.docx", "A 2057-2024")</f>
        <v/>
      </c>
      <c r="W637">
        <f>HYPERLINK("https://klasma.github.io/Logging_2482/klagomålsmail/A 2057-2024 FSC-klagomål mail.docx", "A 2057-2024")</f>
        <v/>
      </c>
      <c r="X637">
        <f>HYPERLINK("https://klasma.github.io/Logging_2482/tillsyn/A 2057-2024 tillsynsbegäran.docx", "A 2057-2024")</f>
        <v/>
      </c>
      <c r="Y637">
        <f>HYPERLINK("https://klasma.github.io/Logging_2482/tillsynsmail/A 2057-2024 tillsynsbegäran mail.docx", "A 2057-2024")</f>
        <v/>
      </c>
      <c r="Z637">
        <f>HYPERLINK("https://klasma.github.io/Logging_2482/fåglar/A 2057-2024 prioriterade fågelarter.docx", "A 2057-2024")</f>
        <v/>
      </c>
    </row>
    <row r="638" ht="15" customHeight="1">
      <c r="A638" t="inlineStr">
        <is>
          <t>A 4458-2024</t>
        </is>
      </c>
      <c r="B638" s="1" t="n">
        <v>45324</v>
      </c>
      <c r="C638" s="1" t="n">
        <v>45788</v>
      </c>
      <c r="D638" t="inlineStr">
        <is>
          <t>VÄSTERBOTTENS LÄN</t>
        </is>
      </c>
      <c r="E638" t="inlineStr">
        <is>
          <t>UMEÅ</t>
        </is>
      </c>
      <c r="G638" t="n">
        <v>16</v>
      </c>
      <c r="H638" t="n">
        <v>1</v>
      </c>
      <c r="I638" t="n">
        <v>1</v>
      </c>
      <c r="J638" t="n">
        <v>3</v>
      </c>
      <c r="K638" t="n">
        <v>0</v>
      </c>
      <c r="L638" t="n">
        <v>0</v>
      </c>
      <c r="M638" t="n">
        <v>0</v>
      </c>
      <c r="N638" t="n">
        <v>0</v>
      </c>
      <c r="O638" t="n">
        <v>3</v>
      </c>
      <c r="P638" t="n">
        <v>0</v>
      </c>
      <c r="Q638" t="n">
        <v>4</v>
      </c>
      <c r="R638" s="2" t="inlineStr">
        <is>
          <t>Garnlav
Granticka
Spillkråka
Vedticka</t>
        </is>
      </c>
      <c r="S638">
        <f>HYPERLINK("https://klasma.github.io/Logging_2480/artfynd/A 4458-2024 artfynd.xlsx", "A 4458-2024")</f>
        <v/>
      </c>
      <c r="T638">
        <f>HYPERLINK("https://klasma.github.io/Logging_2480/kartor/A 4458-2024 karta.png", "A 4458-2024")</f>
        <v/>
      </c>
      <c r="V638">
        <f>HYPERLINK("https://klasma.github.io/Logging_2480/klagomål/A 4458-2024 FSC-klagomål.docx", "A 4458-2024")</f>
        <v/>
      </c>
      <c r="W638">
        <f>HYPERLINK("https://klasma.github.io/Logging_2480/klagomålsmail/A 4458-2024 FSC-klagomål mail.docx", "A 4458-2024")</f>
        <v/>
      </c>
      <c r="X638">
        <f>HYPERLINK("https://klasma.github.io/Logging_2480/tillsyn/A 4458-2024 tillsynsbegäran.docx", "A 4458-2024")</f>
        <v/>
      </c>
      <c r="Y638">
        <f>HYPERLINK("https://klasma.github.io/Logging_2480/tillsynsmail/A 4458-2024 tillsynsbegäran mail.docx", "A 4458-2024")</f>
        <v/>
      </c>
      <c r="Z638">
        <f>HYPERLINK("https://klasma.github.io/Logging_2480/fåglar/A 4458-2024 prioriterade fågelarter.docx", "A 4458-2024")</f>
        <v/>
      </c>
    </row>
    <row r="639" ht="15" customHeight="1">
      <c r="A639" t="inlineStr">
        <is>
          <t>A 6225-2024</t>
        </is>
      </c>
      <c r="B639" s="1" t="n">
        <v>45337</v>
      </c>
      <c r="C639" s="1" t="n">
        <v>45788</v>
      </c>
      <c r="D639" t="inlineStr">
        <is>
          <t>VÄSTERBOTTENS LÄN</t>
        </is>
      </c>
      <c r="E639" t="inlineStr">
        <is>
          <t>ÅSELE</t>
        </is>
      </c>
      <c r="G639" t="n">
        <v>13.3</v>
      </c>
      <c r="H639" t="n">
        <v>2</v>
      </c>
      <c r="I639" t="n">
        <v>0</v>
      </c>
      <c r="J639" t="n">
        <v>4</v>
      </c>
      <c r="K639" t="n">
        <v>0</v>
      </c>
      <c r="L639" t="n">
        <v>0</v>
      </c>
      <c r="M639" t="n">
        <v>0</v>
      </c>
      <c r="N639" t="n">
        <v>0</v>
      </c>
      <c r="O639" t="n">
        <v>4</v>
      </c>
      <c r="P639" t="n">
        <v>0</v>
      </c>
      <c r="Q639" t="n">
        <v>4</v>
      </c>
      <c r="R639" s="2" t="inlineStr">
        <is>
          <t>Garnlav
Lunglav
Talltita
Tretåig hackspett</t>
        </is>
      </c>
      <c r="S639">
        <f>HYPERLINK("https://klasma.github.io/Logging_2463/artfynd/A 6225-2024 artfynd.xlsx", "A 6225-2024")</f>
        <v/>
      </c>
      <c r="T639">
        <f>HYPERLINK("https://klasma.github.io/Logging_2463/kartor/A 6225-2024 karta.png", "A 6225-2024")</f>
        <v/>
      </c>
      <c r="V639">
        <f>HYPERLINK("https://klasma.github.io/Logging_2463/klagomål/A 6225-2024 FSC-klagomål.docx", "A 6225-2024")</f>
        <v/>
      </c>
      <c r="W639">
        <f>HYPERLINK("https://klasma.github.io/Logging_2463/klagomålsmail/A 6225-2024 FSC-klagomål mail.docx", "A 6225-2024")</f>
        <v/>
      </c>
      <c r="X639">
        <f>HYPERLINK("https://klasma.github.io/Logging_2463/tillsyn/A 6225-2024 tillsynsbegäran.docx", "A 6225-2024")</f>
        <v/>
      </c>
      <c r="Y639">
        <f>HYPERLINK("https://klasma.github.io/Logging_2463/tillsynsmail/A 6225-2024 tillsynsbegäran mail.docx", "A 6225-2024")</f>
        <v/>
      </c>
      <c r="Z639">
        <f>HYPERLINK("https://klasma.github.io/Logging_2463/fåglar/A 6225-2024 prioriterade fågelarter.docx", "A 6225-2024")</f>
        <v/>
      </c>
    </row>
    <row r="640" ht="15" customHeight="1">
      <c r="A640" t="inlineStr">
        <is>
          <t>A 12647-2024</t>
        </is>
      </c>
      <c r="B640" s="1" t="n">
        <v>45379</v>
      </c>
      <c r="C640" s="1" t="n">
        <v>45788</v>
      </c>
      <c r="D640" t="inlineStr">
        <is>
          <t>VÄSTERBOTTENS LÄN</t>
        </is>
      </c>
      <c r="E640" t="inlineStr">
        <is>
          <t>ROBERTSFORS</t>
        </is>
      </c>
      <c r="G640" t="n">
        <v>2.1</v>
      </c>
      <c r="H640" t="n">
        <v>0</v>
      </c>
      <c r="I640" t="n">
        <v>0</v>
      </c>
      <c r="J640" t="n">
        <v>4</v>
      </c>
      <c r="K640" t="n">
        <v>0</v>
      </c>
      <c r="L640" t="n">
        <v>0</v>
      </c>
      <c r="M640" t="n">
        <v>0</v>
      </c>
      <c r="N640" t="n">
        <v>0</v>
      </c>
      <c r="O640" t="n">
        <v>4</v>
      </c>
      <c r="P640" t="n">
        <v>0</v>
      </c>
      <c r="Q640" t="n">
        <v>4</v>
      </c>
      <c r="R640" s="2" t="inlineStr">
        <is>
          <t>Garnlav
Granticka
Stjärntagging
Ullticka</t>
        </is>
      </c>
      <c r="S640">
        <f>HYPERLINK("https://klasma.github.io/Logging_2409/artfynd/A 12647-2024 artfynd.xlsx", "A 12647-2024")</f>
        <v/>
      </c>
      <c r="T640">
        <f>HYPERLINK("https://klasma.github.io/Logging_2409/kartor/A 12647-2024 karta.png", "A 12647-2024")</f>
        <v/>
      </c>
      <c r="V640">
        <f>HYPERLINK("https://klasma.github.io/Logging_2409/klagomål/A 12647-2024 FSC-klagomål.docx", "A 12647-2024")</f>
        <v/>
      </c>
      <c r="W640">
        <f>HYPERLINK("https://klasma.github.io/Logging_2409/klagomålsmail/A 12647-2024 FSC-klagomål mail.docx", "A 12647-2024")</f>
        <v/>
      </c>
      <c r="X640">
        <f>HYPERLINK("https://klasma.github.io/Logging_2409/tillsyn/A 12647-2024 tillsynsbegäran.docx", "A 12647-2024")</f>
        <v/>
      </c>
      <c r="Y640">
        <f>HYPERLINK("https://klasma.github.io/Logging_2409/tillsynsmail/A 12647-2024 tillsynsbegäran mail.docx", "A 12647-2024")</f>
        <v/>
      </c>
    </row>
    <row r="641" ht="15" customHeight="1">
      <c r="A641" t="inlineStr">
        <is>
          <t>A 13034-2024</t>
        </is>
      </c>
      <c r="B641" s="1" t="n">
        <v>45385</v>
      </c>
      <c r="C641" s="1" t="n">
        <v>45788</v>
      </c>
      <c r="D641" t="inlineStr">
        <is>
          <t>VÄSTERBOTTENS LÄN</t>
        </is>
      </c>
      <c r="E641" t="inlineStr">
        <is>
          <t>VINDELN</t>
        </is>
      </c>
      <c r="G641" t="n">
        <v>11.7</v>
      </c>
      <c r="H641" t="n">
        <v>1</v>
      </c>
      <c r="I641" t="n">
        <v>1</v>
      </c>
      <c r="J641" t="n">
        <v>3</v>
      </c>
      <c r="K641" t="n">
        <v>0</v>
      </c>
      <c r="L641" t="n">
        <v>0</v>
      </c>
      <c r="M641" t="n">
        <v>0</v>
      </c>
      <c r="N641" t="n">
        <v>0</v>
      </c>
      <c r="O641" t="n">
        <v>3</v>
      </c>
      <c r="P641" t="n">
        <v>0</v>
      </c>
      <c r="Q641" t="n">
        <v>4</v>
      </c>
      <c r="R641" s="2" t="inlineStr">
        <is>
          <t>Granticka
Spillkråka
Ullticka
Stor aspticka</t>
        </is>
      </c>
      <c r="S641">
        <f>HYPERLINK("https://klasma.github.io/Logging_2404/artfynd/A 13034-2024 artfynd.xlsx", "A 13034-2024")</f>
        <v/>
      </c>
      <c r="T641">
        <f>HYPERLINK("https://klasma.github.io/Logging_2404/kartor/A 13034-2024 karta.png", "A 13034-2024")</f>
        <v/>
      </c>
      <c r="V641">
        <f>HYPERLINK("https://klasma.github.io/Logging_2404/klagomål/A 13034-2024 FSC-klagomål.docx", "A 13034-2024")</f>
        <v/>
      </c>
      <c r="W641">
        <f>HYPERLINK("https://klasma.github.io/Logging_2404/klagomålsmail/A 13034-2024 FSC-klagomål mail.docx", "A 13034-2024")</f>
        <v/>
      </c>
      <c r="X641">
        <f>HYPERLINK("https://klasma.github.io/Logging_2404/tillsyn/A 13034-2024 tillsynsbegäran.docx", "A 13034-2024")</f>
        <v/>
      </c>
      <c r="Y641">
        <f>HYPERLINK("https://klasma.github.io/Logging_2404/tillsynsmail/A 13034-2024 tillsynsbegäran mail.docx", "A 13034-2024")</f>
        <v/>
      </c>
      <c r="Z641">
        <f>HYPERLINK("https://klasma.github.io/Logging_2404/fåglar/A 13034-2024 prioriterade fågelarter.docx", "A 13034-2024")</f>
        <v/>
      </c>
    </row>
    <row r="642" ht="15" customHeight="1">
      <c r="A642" t="inlineStr">
        <is>
          <t>A 18577-2024</t>
        </is>
      </c>
      <c r="B642" s="1" t="n">
        <v>45425</v>
      </c>
      <c r="C642" s="1" t="n">
        <v>45788</v>
      </c>
      <c r="D642" t="inlineStr">
        <is>
          <t>VÄSTERBOTTENS LÄN</t>
        </is>
      </c>
      <c r="E642" t="inlineStr">
        <is>
          <t>SKELLEFTEÅ</t>
        </is>
      </c>
      <c r="G642" t="n">
        <v>5.3</v>
      </c>
      <c r="H642" t="n">
        <v>1</v>
      </c>
      <c r="I642" t="n">
        <v>1</v>
      </c>
      <c r="J642" t="n">
        <v>2</v>
      </c>
      <c r="K642" t="n">
        <v>1</v>
      </c>
      <c r="L642" t="n">
        <v>0</v>
      </c>
      <c r="M642" t="n">
        <v>0</v>
      </c>
      <c r="N642" t="n">
        <v>0</v>
      </c>
      <c r="O642" t="n">
        <v>3</v>
      </c>
      <c r="P642" t="n">
        <v>1</v>
      </c>
      <c r="Q642" t="n">
        <v>4</v>
      </c>
      <c r="R642" s="2" t="inlineStr">
        <is>
          <t>Knärot
Gammelgransskål
Garnlav
Rävticka</t>
        </is>
      </c>
      <c r="S642">
        <f>HYPERLINK("https://klasma.github.io/Logging_2482/artfynd/A 18577-2024 artfynd.xlsx", "A 18577-2024")</f>
        <v/>
      </c>
      <c r="T642">
        <f>HYPERLINK("https://klasma.github.io/Logging_2482/kartor/A 18577-2024 karta.png", "A 18577-2024")</f>
        <v/>
      </c>
      <c r="U642">
        <f>HYPERLINK("https://klasma.github.io/Logging_2482/knärot/A 18577-2024 karta knärot.png", "A 18577-2024")</f>
        <v/>
      </c>
      <c r="V642">
        <f>HYPERLINK("https://klasma.github.io/Logging_2482/klagomål/A 18577-2024 FSC-klagomål.docx", "A 18577-2024")</f>
        <v/>
      </c>
      <c r="W642">
        <f>HYPERLINK("https://klasma.github.io/Logging_2482/klagomålsmail/A 18577-2024 FSC-klagomål mail.docx", "A 18577-2024")</f>
        <v/>
      </c>
      <c r="X642">
        <f>HYPERLINK("https://klasma.github.io/Logging_2482/tillsyn/A 18577-2024 tillsynsbegäran.docx", "A 18577-2024")</f>
        <v/>
      </c>
      <c r="Y642">
        <f>HYPERLINK("https://klasma.github.io/Logging_2482/tillsynsmail/A 18577-2024 tillsynsbegäran mail.docx", "A 18577-2024")</f>
        <v/>
      </c>
    </row>
    <row r="643" ht="15" customHeight="1">
      <c r="A643" t="inlineStr">
        <is>
          <t>A 23555-2024</t>
        </is>
      </c>
      <c r="B643" s="1" t="n">
        <v>45453</v>
      </c>
      <c r="C643" s="1" t="n">
        <v>45788</v>
      </c>
      <c r="D643" t="inlineStr">
        <is>
          <t>VÄSTERBOTTENS LÄN</t>
        </is>
      </c>
      <c r="E643" t="inlineStr">
        <is>
          <t>DOROTEA</t>
        </is>
      </c>
      <c r="F643" t="inlineStr">
        <is>
          <t>SCA</t>
        </is>
      </c>
      <c r="G643" t="n">
        <v>16.3</v>
      </c>
      <c r="H643" t="n">
        <v>3</v>
      </c>
      <c r="I643" t="n">
        <v>1</v>
      </c>
      <c r="J643" t="n">
        <v>1</v>
      </c>
      <c r="K643" t="n">
        <v>0</v>
      </c>
      <c r="L643" t="n">
        <v>0</v>
      </c>
      <c r="M643" t="n">
        <v>0</v>
      </c>
      <c r="N643" t="n">
        <v>0</v>
      </c>
      <c r="O643" t="n">
        <v>1</v>
      </c>
      <c r="P643" t="n">
        <v>0</v>
      </c>
      <c r="Q643" t="n">
        <v>4</v>
      </c>
      <c r="R643" s="2" t="inlineStr">
        <is>
          <t>Garnlav
Spindelblomster
Vanlig groda
Fläcknycklar</t>
        </is>
      </c>
      <c r="S643">
        <f>HYPERLINK("https://klasma.github.io/Logging_2425/artfynd/A 23555-2024 artfynd.xlsx", "A 23555-2024")</f>
        <v/>
      </c>
      <c r="T643">
        <f>HYPERLINK("https://klasma.github.io/Logging_2425/kartor/A 23555-2024 karta.png", "A 23555-2024")</f>
        <v/>
      </c>
      <c r="V643">
        <f>HYPERLINK("https://klasma.github.io/Logging_2425/klagomål/A 23555-2024 FSC-klagomål.docx", "A 23555-2024")</f>
        <v/>
      </c>
      <c r="W643">
        <f>HYPERLINK("https://klasma.github.io/Logging_2425/klagomålsmail/A 23555-2024 FSC-klagomål mail.docx", "A 23555-2024")</f>
        <v/>
      </c>
      <c r="X643">
        <f>HYPERLINK("https://klasma.github.io/Logging_2425/tillsyn/A 23555-2024 tillsynsbegäran.docx", "A 23555-2024")</f>
        <v/>
      </c>
      <c r="Y643">
        <f>HYPERLINK("https://klasma.github.io/Logging_2425/tillsynsmail/A 23555-2024 tillsynsbegäran mail.docx", "A 23555-2024")</f>
        <v/>
      </c>
    </row>
    <row r="644" ht="15" customHeight="1">
      <c r="A644" t="inlineStr">
        <is>
          <t>A 23970-2024</t>
        </is>
      </c>
      <c r="B644" s="1" t="n">
        <v>45455</v>
      </c>
      <c r="C644" s="1" t="n">
        <v>45788</v>
      </c>
      <c r="D644" t="inlineStr">
        <is>
          <t>VÄSTERBOTTENS LÄN</t>
        </is>
      </c>
      <c r="E644" t="inlineStr">
        <is>
          <t>LYCKSELE</t>
        </is>
      </c>
      <c r="F644" t="inlineStr">
        <is>
          <t>SCA</t>
        </is>
      </c>
      <c r="G644" t="n">
        <v>23.5</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23970-2024 artfynd.xlsx", "A 23970-2024")</f>
        <v/>
      </c>
      <c r="T644">
        <f>HYPERLINK("https://klasma.github.io/Logging_2481/kartor/A 23970-2024 karta.png", "A 23970-2024")</f>
        <v/>
      </c>
      <c r="V644">
        <f>HYPERLINK("https://klasma.github.io/Logging_2481/klagomål/A 23970-2024 FSC-klagomål.docx", "A 23970-2024")</f>
        <v/>
      </c>
      <c r="W644">
        <f>HYPERLINK("https://klasma.github.io/Logging_2481/klagomålsmail/A 23970-2024 FSC-klagomål mail.docx", "A 23970-2024")</f>
        <v/>
      </c>
      <c r="X644">
        <f>HYPERLINK("https://klasma.github.io/Logging_2481/tillsyn/A 23970-2024 tillsynsbegäran.docx", "A 23970-2024")</f>
        <v/>
      </c>
      <c r="Y644">
        <f>HYPERLINK("https://klasma.github.io/Logging_2481/tillsynsmail/A 23970-2024 tillsynsbegäran mail.docx", "A 23970-2024")</f>
        <v/>
      </c>
    </row>
    <row r="645" ht="15" customHeight="1">
      <c r="A645" t="inlineStr">
        <is>
          <t>A 25036-2024</t>
        </is>
      </c>
      <c r="B645" s="1" t="n">
        <v>45461</v>
      </c>
      <c r="C645" s="1" t="n">
        <v>45788</v>
      </c>
      <c r="D645" t="inlineStr">
        <is>
          <t>VÄSTERBOTTENS LÄN</t>
        </is>
      </c>
      <c r="E645" t="inlineStr">
        <is>
          <t>VILHELMINA</t>
        </is>
      </c>
      <c r="F645" t="inlineStr">
        <is>
          <t>SCA</t>
        </is>
      </c>
      <c r="G645" t="n">
        <v>7</v>
      </c>
      <c r="H645" t="n">
        <v>3</v>
      </c>
      <c r="I645" t="n">
        <v>1</v>
      </c>
      <c r="J645" t="n">
        <v>1</v>
      </c>
      <c r="K645" t="n">
        <v>0</v>
      </c>
      <c r="L645" t="n">
        <v>0</v>
      </c>
      <c r="M645" t="n">
        <v>0</v>
      </c>
      <c r="N645" t="n">
        <v>0</v>
      </c>
      <c r="O645" t="n">
        <v>1</v>
      </c>
      <c r="P645" t="n">
        <v>0</v>
      </c>
      <c r="Q645" t="n">
        <v>4</v>
      </c>
      <c r="R645" s="2" t="inlineStr">
        <is>
          <t>Garnlav
Plattlummer
Tjäder
Revlummer</t>
        </is>
      </c>
      <c r="S645">
        <f>HYPERLINK("https://klasma.github.io/Logging_2462/artfynd/A 25036-2024 artfynd.xlsx", "A 25036-2024")</f>
        <v/>
      </c>
      <c r="T645">
        <f>HYPERLINK("https://klasma.github.io/Logging_2462/kartor/A 25036-2024 karta.png", "A 25036-2024")</f>
        <v/>
      </c>
      <c r="V645">
        <f>HYPERLINK("https://klasma.github.io/Logging_2462/klagomål/A 25036-2024 FSC-klagomål.docx", "A 25036-2024")</f>
        <v/>
      </c>
      <c r="W645">
        <f>HYPERLINK("https://klasma.github.io/Logging_2462/klagomålsmail/A 25036-2024 FSC-klagomål mail.docx", "A 25036-2024")</f>
        <v/>
      </c>
      <c r="X645">
        <f>HYPERLINK("https://klasma.github.io/Logging_2462/tillsyn/A 25036-2024 tillsynsbegäran.docx", "A 25036-2024")</f>
        <v/>
      </c>
      <c r="Y645">
        <f>HYPERLINK("https://klasma.github.io/Logging_2462/tillsynsmail/A 25036-2024 tillsynsbegäran mail.docx", "A 25036-2024")</f>
        <v/>
      </c>
      <c r="Z645">
        <f>HYPERLINK("https://klasma.github.io/Logging_2462/fåglar/A 25036-2024 prioriterade fågelarter.docx", "A 25036-2024")</f>
        <v/>
      </c>
    </row>
    <row r="646" ht="15" customHeight="1">
      <c r="A646" t="inlineStr">
        <is>
          <t>A 25995-2024</t>
        </is>
      </c>
      <c r="B646" s="1" t="n">
        <v>45467</v>
      </c>
      <c r="C646" s="1" t="n">
        <v>45788</v>
      </c>
      <c r="D646" t="inlineStr">
        <is>
          <t>VÄSTERBOTTENS LÄN</t>
        </is>
      </c>
      <c r="E646" t="inlineStr">
        <is>
          <t>BJURHOLM</t>
        </is>
      </c>
      <c r="F646" t="inlineStr">
        <is>
          <t>Holmen skog AB</t>
        </is>
      </c>
      <c r="G646" t="n">
        <v>15.9</v>
      </c>
      <c r="H646" t="n">
        <v>0</v>
      </c>
      <c r="I646" t="n">
        <v>0</v>
      </c>
      <c r="J646" t="n">
        <v>4</v>
      </c>
      <c r="K646" t="n">
        <v>0</v>
      </c>
      <c r="L646" t="n">
        <v>0</v>
      </c>
      <c r="M646" t="n">
        <v>0</v>
      </c>
      <c r="N646" t="n">
        <v>0</v>
      </c>
      <c r="O646" t="n">
        <v>4</v>
      </c>
      <c r="P646" t="n">
        <v>0</v>
      </c>
      <c r="Q646" t="n">
        <v>4</v>
      </c>
      <c r="R646" s="2" t="inlineStr">
        <is>
          <t>Garnlav
Kolflarnlav
Mörk kolflarnlav
Ullticka</t>
        </is>
      </c>
      <c r="S646">
        <f>HYPERLINK("https://klasma.github.io/Logging_2403/artfynd/A 25995-2024 artfynd.xlsx", "A 25995-2024")</f>
        <v/>
      </c>
      <c r="T646">
        <f>HYPERLINK("https://klasma.github.io/Logging_2403/kartor/A 25995-2024 karta.png", "A 25995-2024")</f>
        <v/>
      </c>
      <c r="V646">
        <f>HYPERLINK("https://klasma.github.io/Logging_2403/klagomål/A 25995-2024 FSC-klagomål.docx", "A 25995-2024")</f>
        <v/>
      </c>
      <c r="W646">
        <f>HYPERLINK("https://klasma.github.io/Logging_2403/klagomålsmail/A 25995-2024 FSC-klagomål mail.docx", "A 25995-2024")</f>
        <v/>
      </c>
      <c r="X646">
        <f>HYPERLINK("https://klasma.github.io/Logging_2403/tillsyn/A 25995-2024 tillsynsbegäran.docx", "A 25995-2024")</f>
        <v/>
      </c>
      <c r="Y646">
        <f>HYPERLINK("https://klasma.github.io/Logging_2403/tillsynsmail/A 25995-2024 tillsynsbegäran mail.docx", "A 25995-2024")</f>
        <v/>
      </c>
    </row>
    <row r="647" ht="15" customHeight="1">
      <c r="A647" t="inlineStr">
        <is>
          <t>A 26961-2024</t>
        </is>
      </c>
      <c r="B647" s="1" t="n">
        <v>45471</v>
      </c>
      <c r="C647" s="1" t="n">
        <v>45788</v>
      </c>
      <c r="D647" t="inlineStr">
        <is>
          <t>VÄSTERBOTTENS LÄN</t>
        </is>
      </c>
      <c r="E647" t="inlineStr">
        <is>
          <t>LYCKSELE</t>
        </is>
      </c>
      <c r="F647" t="inlineStr">
        <is>
          <t>SCA</t>
        </is>
      </c>
      <c r="G647" t="n">
        <v>9.1</v>
      </c>
      <c r="H647" t="n">
        <v>0</v>
      </c>
      <c r="I647" t="n">
        <v>2</v>
      </c>
      <c r="J647" t="n">
        <v>2</v>
      </c>
      <c r="K647" t="n">
        <v>0</v>
      </c>
      <c r="L647" t="n">
        <v>0</v>
      </c>
      <c r="M647" t="n">
        <v>0</v>
      </c>
      <c r="N647" t="n">
        <v>0</v>
      </c>
      <c r="O647" t="n">
        <v>2</v>
      </c>
      <c r="P647" t="n">
        <v>0</v>
      </c>
      <c r="Q647" t="n">
        <v>4</v>
      </c>
      <c r="R647" s="2" t="inlineStr">
        <is>
          <t>Lunglav
Orange taggsvamp
Dropptaggsvamp
Stuplav</t>
        </is>
      </c>
      <c r="S647">
        <f>HYPERLINK("https://klasma.github.io/Logging_2481/artfynd/A 26961-2024 artfynd.xlsx", "A 26961-2024")</f>
        <v/>
      </c>
      <c r="T647">
        <f>HYPERLINK("https://klasma.github.io/Logging_2481/kartor/A 26961-2024 karta.png", "A 26961-2024")</f>
        <v/>
      </c>
      <c r="V647">
        <f>HYPERLINK("https://klasma.github.io/Logging_2481/klagomål/A 26961-2024 FSC-klagomål.docx", "A 26961-2024")</f>
        <v/>
      </c>
      <c r="W647">
        <f>HYPERLINK("https://klasma.github.io/Logging_2481/klagomålsmail/A 26961-2024 FSC-klagomål mail.docx", "A 26961-2024")</f>
        <v/>
      </c>
      <c r="X647">
        <f>HYPERLINK("https://klasma.github.io/Logging_2481/tillsyn/A 26961-2024 tillsynsbegäran.docx", "A 26961-2024")</f>
        <v/>
      </c>
      <c r="Y647">
        <f>HYPERLINK("https://klasma.github.io/Logging_2481/tillsynsmail/A 26961-2024 tillsynsbegäran mail.docx", "A 26961-2024")</f>
        <v/>
      </c>
    </row>
    <row r="648" ht="15" customHeight="1">
      <c r="A648" t="inlineStr">
        <is>
          <t>A 27558-2024</t>
        </is>
      </c>
      <c r="B648" s="1" t="n">
        <v>45474</v>
      </c>
      <c r="C648" s="1" t="n">
        <v>45788</v>
      </c>
      <c r="D648" t="inlineStr">
        <is>
          <t>VÄSTERBOTTENS LÄN</t>
        </is>
      </c>
      <c r="E648" t="inlineStr">
        <is>
          <t>STORUMAN</t>
        </is>
      </c>
      <c r="F648" t="inlineStr">
        <is>
          <t>Sveaskog</t>
        </is>
      </c>
      <c r="G648" t="n">
        <v>5.7</v>
      </c>
      <c r="H648" t="n">
        <v>2</v>
      </c>
      <c r="I648" t="n">
        <v>0</v>
      </c>
      <c r="J648" t="n">
        <v>3</v>
      </c>
      <c r="K648" t="n">
        <v>0</v>
      </c>
      <c r="L648" t="n">
        <v>0</v>
      </c>
      <c r="M648" t="n">
        <v>0</v>
      </c>
      <c r="N648" t="n">
        <v>0</v>
      </c>
      <c r="O648" t="n">
        <v>3</v>
      </c>
      <c r="P648" t="n">
        <v>0</v>
      </c>
      <c r="Q648" t="n">
        <v>4</v>
      </c>
      <c r="R648" s="2" t="inlineStr">
        <is>
          <t>Garnlav
Järpe
Kolflarnlav
Fläcknycklar</t>
        </is>
      </c>
      <c r="S648">
        <f>HYPERLINK("https://klasma.github.io/Logging_2421/artfynd/A 27558-2024 artfynd.xlsx", "A 27558-2024")</f>
        <v/>
      </c>
      <c r="T648">
        <f>HYPERLINK("https://klasma.github.io/Logging_2421/kartor/A 27558-2024 karta.png", "A 27558-2024")</f>
        <v/>
      </c>
      <c r="V648">
        <f>HYPERLINK("https://klasma.github.io/Logging_2421/klagomål/A 27558-2024 FSC-klagomål.docx", "A 27558-2024")</f>
        <v/>
      </c>
      <c r="W648">
        <f>HYPERLINK("https://klasma.github.io/Logging_2421/klagomålsmail/A 27558-2024 FSC-klagomål mail.docx", "A 27558-2024")</f>
        <v/>
      </c>
      <c r="X648">
        <f>HYPERLINK("https://klasma.github.io/Logging_2421/tillsyn/A 27558-2024 tillsynsbegäran.docx", "A 27558-2024")</f>
        <v/>
      </c>
      <c r="Y648">
        <f>HYPERLINK("https://klasma.github.io/Logging_2421/tillsynsmail/A 27558-2024 tillsynsbegäran mail.docx", "A 27558-2024")</f>
        <v/>
      </c>
      <c r="Z648">
        <f>HYPERLINK("https://klasma.github.io/Logging_2421/fåglar/A 27558-2024 prioriterade fågelarter.docx", "A 27558-2024")</f>
        <v/>
      </c>
    </row>
    <row r="649" ht="15" customHeight="1">
      <c r="A649" t="inlineStr">
        <is>
          <t>A 28867-2024</t>
        </is>
      </c>
      <c r="B649" s="1" t="n">
        <v>45479</v>
      </c>
      <c r="C649" s="1" t="n">
        <v>45788</v>
      </c>
      <c r="D649" t="inlineStr">
        <is>
          <t>VÄSTERBOTTENS LÄN</t>
        </is>
      </c>
      <c r="E649" t="inlineStr">
        <is>
          <t>VILHELMINA</t>
        </is>
      </c>
      <c r="F649" t="inlineStr">
        <is>
          <t>SCA</t>
        </is>
      </c>
      <c r="G649" t="n">
        <v>1</v>
      </c>
      <c r="H649" t="n">
        <v>1</v>
      </c>
      <c r="I649" t="n">
        <v>0</v>
      </c>
      <c r="J649" t="n">
        <v>4</v>
      </c>
      <c r="K649" t="n">
        <v>0</v>
      </c>
      <c r="L649" t="n">
        <v>0</v>
      </c>
      <c r="M649" t="n">
        <v>0</v>
      </c>
      <c r="N649" t="n">
        <v>0</v>
      </c>
      <c r="O649" t="n">
        <v>4</v>
      </c>
      <c r="P649" t="n">
        <v>0</v>
      </c>
      <c r="Q649" t="n">
        <v>4</v>
      </c>
      <c r="R649" s="2" t="inlineStr">
        <is>
          <t>Garnlav
Granticka
Liten svartspik
Tretåig hackspett</t>
        </is>
      </c>
      <c r="S649">
        <f>HYPERLINK("https://klasma.github.io/Logging_2462/artfynd/A 28867-2024 artfynd.xlsx", "A 28867-2024")</f>
        <v/>
      </c>
      <c r="T649">
        <f>HYPERLINK("https://klasma.github.io/Logging_2462/kartor/A 28867-2024 karta.png", "A 28867-2024")</f>
        <v/>
      </c>
      <c r="V649">
        <f>HYPERLINK("https://klasma.github.io/Logging_2462/klagomål/A 28867-2024 FSC-klagomål.docx", "A 28867-2024")</f>
        <v/>
      </c>
      <c r="W649">
        <f>HYPERLINK("https://klasma.github.io/Logging_2462/klagomålsmail/A 28867-2024 FSC-klagomål mail.docx", "A 28867-2024")</f>
        <v/>
      </c>
      <c r="X649">
        <f>HYPERLINK("https://klasma.github.io/Logging_2462/tillsyn/A 28867-2024 tillsynsbegäran.docx", "A 28867-2024")</f>
        <v/>
      </c>
      <c r="Y649">
        <f>HYPERLINK("https://klasma.github.io/Logging_2462/tillsynsmail/A 28867-2024 tillsynsbegäran mail.docx", "A 28867-2024")</f>
        <v/>
      </c>
      <c r="Z649">
        <f>HYPERLINK("https://klasma.github.io/Logging_2462/fåglar/A 28867-2024 prioriterade fågelarter.docx", "A 28867-2024")</f>
        <v/>
      </c>
    </row>
    <row r="650" ht="15" customHeight="1">
      <c r="A650" t="inlineStr">
        <is>
          <t>A 31451-2024</t>
        </is>
      </c>
      <c r="B650" s="1" t="n">
        <v>45506</v>
      </c>
      <c r="C650" s="1" t="n">
        <v>45788</v>
      </c>
      <c r="D650" t="inlineStr">
        <is>
          <t>VÄSTERBOTTENS LÄN</t>
        </is>
      </c>
      <c r="E650" t="inlineStr">
        <is>
          <t>STORUMAN</t>
        </is>
      </c>
      <c r="G650" t="n">
        <v>16</v>
      </c>
      <c r="H650" t="n">
        <v>1</v>
      </c>
      <c r="I650" t="n">
        <v>1</v>
      </c>
      <c r="J650" t="n">
        <v>3</v>
      </c>
      <c r="K650" t="n">
        <v>0</v>
      </c>
      <c r="L650" t="n">
        <v>0</v>
      </c>
      <c r="M650" t="n">
        <v>0</v>
      </c>
      <c r="N650" t="n">
        <v>0</v>
      </c>
      <c r="O650" t="n">
        <v>3</v>
      </c>
      <c r="P650" t="n">
        <v>0</v>
      </c>
      <c r="Q650" t="n">
        <v>4</v>
      </c>
      <c r="R650" s="2" t="inlineStr">
        <is>
          <t>Granticka
Tretåig hackspett
Ullticka
Blodticka</t>
        </is>
      </c>
      <c r="S650">
        <f>HYPERLINK("https://klasma.github.io/Logging_2421/artfynd/A 31451-2024 artfynd.xlsx", "A 31451-2024")</f>
        <v/>
      </c>
      <c r="T650">
        <f>HYPERLINK("https://klasma.github.io/Logging_2421/kartor/A 31451-2024 karta.png", "A 31451-2024")</f>
        <v/>
      </c>
      <c r="V650">
        <f>HYPERLINK("https://klasma.github.io/Logging_2421/klagomål/A 31451-2024 FSC-klagomål.docx", "A 31451-2024")</f>
        <v/>
      </c>
      <c r="W650">
        <f>HYPERLINK("https://klasma.github.io/Logging_2421/klagomålsmail/A 31451-2024 FSC-klagomål mail.docx", "A 31451-2024")</f>
        <v/>
      </c>
      <c r="X650">
        <f>HYPERLINK("https://klasma.github.io/Logging_2421/tillsyn/A 31451-2024 tillsynsbegäran.docx", "A 31451-2024")</f>
        <v/>
      </c>
      <c r="Y650">
        <f>HYPERLINK("https://klasma.github.io/Logging_2421/tillsynsmail/A 31451-2024 tillsynsbegäran mail.docx", "A 31451-2024")</f>
        <v/>
      </c>
      <c r="Z650">
        <f>HYPERLINK("https://klasma.github.io/Logging_2421/fåglar/A 31451-2024 prioriterade fågelarter.docx", "A 31451-2024")</f>
        <v/>
      </c>
    </row>
    <row r="651" ht="15" customHeight="1">
      <c r="A651" t="inlineStr">
        <is>
          <t>A 31811-2024</t>
        </is>
      </c>
      <c r="B651" s="1" t="n">
        <v>45509</v>
      </c>
      <c r="C651" s="1" t="n">
        <v>45788</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31811-2024 artfynd.xlsx", "A 31811-2024")</f>
        <v/>
      </c>
      <c r="T651">
        <f>HYPERLINK("https://klasma.github.io/Logging_2481/kartor/A 31811-2024 karta.png", "A 31811-2024")</f>
        <v/>
      </c>
      <c r="U651">
        <f>HYPERLINK("https://klasma.github.io/Logging_2481/knärot/A 31811-2024 karta knärot.png", "A 31811-2024")</f>
        <v/>
      </c>
      <c r="V651">
        <f>HYPERLINK("https://klasma.github.io/Logging_2481/klagomål/A 31811-2024 FSC-klagomål.docx", "A 31811-2024")</f>
        <v/>
      </c>
      <c r="W651">
        <f>HYPERLINK("https://klasma.github.io/Logging_2481/klagomålsmail/A 31811-2024 FSC-klagomål mail.docx", "A 31811-2024")</f>
        <v/>
      </c>
      <c r="X651">
        <f>HYPERLINK("https://klasma.github.io/Logging_2481/tillsyn/A 31811-2024 tillsynsbegäran.docx", "A 31811-2024")</f>
        <v/>
      </c>
      <c r="Y651">
        <f>HYPERLINK("https://klasma.github.io/Logging_2481/tillsynsmail/A 31811-2024 tillsynsbegäran mail.docx", "A 31811-2024")</f>
        <v/>
      </c>
    </row>
    <row r="652" ht="15" customHeight="1">
      <c r="A652" t="inlineStr">
        <is>
          <t>A 31984-2024</t>
        </is>
      </c>
      <c r="B652" s="1" t="n">
        <v>45510</v>
      </c>
      <c r="C652" s="1" t="n">
        <v>45788</v>
      </c>
      <c r="D652" t="inlineStr">
        <is>
          <t>VÄSTERBOTTENS LÄN</t>
        </is>
      </c>
      <c r="E652" t="inlineStr">
        <is>
          <t>ROBERTSFORS</t>
        </is>
      </c>
      <c r="F652" t="inlineStr">
        <is>
          <t>Holmen skog AB</t>
        </is>
      </c>
      <c r="G652" t="n">
        <v>12.8</v>
      </c>
      <c r="H652" t="n">
        <v>0</v>
      </c>
      <c r="I652" t="n">
        <v>1</v>
      </c>
      <c r="J652" t="n">
        <v>3</v>
      </c>
      <c r="K652" t="n">
        <v>0</v>
      </c>
      <c r="L652" t="n">
        <v>0</v>
      </c>
      <c r="M652" t="n">
        <v>0</v>
      </c>
      <c r="N652" t="n">
        <v>0</v>
      </c>
      <c r="O652" t="n">
        <v>3</v>
      </c>
      <c r="P652" t="n">
        <v>0</v>
      </c>
      <c r="Q652" t="n">
        <v>4</v>
      </c>
      <c r="R652" s="2" t="inlineStr">
        <is>
          <t>Motaggsvamp
Orange taggsvamp
Svart taggsvamp
Dropptaggsvamp</t>
        </is>
      </c>
      <c r="S652">
        <f>HYPERLINK("https://klasma.github.io/Logging_2409/artfynd/A 31984-2024 artfynd.xlsx", "A 31984-2024")</f>
        <v/>
      </c>
      <c r="T652">
        <f>HYPERLINK("https://klasma.github.io/Logging_2409/kartor/A 31984-2024 karta.png", "A 31984-2024")</f>
        <v/>
      </c>
      <c r="V652">
        <f>HYPERLINK("https://klasma.github.io/Logging_2409/klagomål/A 31984-2024 FSC-klagomål.docx", "A 31984-2024")</f>
        <v/>
      </c>
      <c r="W652">
        <f>HYPERLINK("https://klasma.github.io/Logging_2409/klagomålsmail/A 31984-2024 FSC-klagomål mail.docx", "A 31984-2024")</f>
        <v/>
      </c>
      <c r="X652">
        <f>HYPERLINK("https://klasma.github.io/Logging_2409/tillsyn/A 31984-2024 tillsynsbegäran.docx", "A 31984-2024")</f>
        <v/>
      </c>
      <c r="Y652">
        <f>HYPERLINK("https://klasma.github.io/Logging_2409/tillsynsmail/A 31984-2024 tillsynsbegäran mail.docx", "A 31984-2024")</f>
        <v/>
      </c>
    </row>
    <row r="653" ht="15" customHeight="1">
      <c r="A653" t="inlineStr">
        <is>
          <t>A 32387-2024</t>
        </is>
      </c>
      <c r="B653" s="1" t="n">
        <v>45512</v>
      </c>
      <c r="C653" s="1" t="n">
        <v>45788</v>
      </c>
      <c r="D653" t="inlineStr">
        <is>
          <t>VÄSTERBOTTENS LÄN</t>
        </is>
      </c>
      <c r="E653" t="inlineStr">
        <is>
          <t>NORSJÖ</t>
        </is>
      </c>
      <c r="G653" t="n">
        <v>12.3</v>
      </c>
      <c r="H653" t="n">
        <v>1</v>
      </c>
      <c r="I653" t="n">
        <v>2</v>
      </c>
      <c r="J653" t="n">
        <v>1</v>
      </c>
      <c r="K653" t="n">
        <v>1</v>
      </c>
      <c r="L653" t="n">
        <v>0</v>
      </c>
      <c r="M653" t="n">
        <v>0</v>
      </c>
      <c r="N653" t="n">
        <v>0</v>
      </c>
      <c r="O653" t="n">
        <v>2</v>
      </c>
      <c r="P653" t="n">
        <v>1</v>
      </c>
      <c r="Q653" t="n">
        <v>4</v>
      </c>
      <c r="R653" s="2" t="inlineStr">
        <is>
          <t>Goliatmusseron
Blå taggsvamp
Dropptaggsvamp
Plattlummer</t>
        </is>
      </c>
      <c r="S653">
        <f>HYPERLINK("https://klasma.github.io/Logging_2417/artfynd/A 32387-2024 artfynd.xlsx", "A 32387-2024")</f>
        <v/>
      </c>
      <c r="T653">
        <f>HYPERLINK("https://klasma.github.io/Logging_2417/kartor/A 32387-2024 karta.png", "A 32387-2024")</f>
        <v/>
      </c>
      <c r="V653">
        <f>HYPERLINK("https://klasma.github.io/Logging_2417/klagomål/A 32387-2024 FSC-klagomål.docx", "A 32387-2024")</f>
        <v/>
      </c>
      <c r="W653">
        <f>HYPERLINK("https://klasma.github.io/Logging_2417/klagomålsmail/A 32387-2024 FSC-klagomål mail.docx", "A 32387-2024")</f>
        <v/>
      </c>
      <c r="X653">
        <f>HYPERLINK("https://klasma.github.io/Logging_2417/tillsyn/A 32387-2024 tillsynsbegäran.docx", "A 32387-2024")</f>
        <v/>
      </c>
      <c r="Y653">
        <f>HYPERLINK("https://klasma.github.io/Logging_2417/tillsynsmail/A 32387-2024 tillsynsbegäran mail.docx", "A 32387-2024")</f>
        <v/>
      </c>
    </row>
    <row r="654" ht="15" customHeight="1">
      <c r="A654" t="inlineStr">
        <is>
          <t>A 33586-2024</t>
        </is>
      </c>
      <c r="B654" s="1" t="n">
        <v>45520</v>
      </c>
      <c r="C654" s="1" t="n">
        <v>45788</v>
      </c>
      <c r="D654" t="inlineStr">
        <is>
          <t>VÄSTERBOTTENS LÄN</t>
        </is>
      </c>
      <c r="E654" t="inlineStr">
        <is>
          <t>LYCKSELE</t>
        </is>
      </c>
      <c r="F654" t="inlineStr">
        <is>
          <t>Sveaskog</t>
        </is>
      </c>
      <c r="G654" t="n">
        <v>3.1</v>
      </c>
      <c r="H654" t="n">
        <v>0</v>
      </c>
      <c r="I654" t="n">
        <v>1</v>
      </c>
      <c r="J654" t="n">
        <v>3</v>
      </c>
      <c r="K654" t="n">
        <v>0</v>
      </c>
      <c r="L654" t="n">
        <v>0</v>
      </c>
      <c r="M654" t="n">
        <v>0</v>
      </c>
      <c r="N654" t="n">
        <v>0</v>
      </c>
      <c r="O654" t="n">
        <v>3</v>
      </c>
      <c r="P654" t="n">
        <v>0</v>
      </c>
      <c r="Q654" t="n">
        <v>4</v>
      </c>
      <c r="R654" s="2" t="inlineStr">
        <is>
          <t>Granticka
Mörk kolflarnlav
Ullticka
Luddlav</t>
        </is>
      </c>
      <c r="S654">
        <f>HYPERLINK("https://klasma.github.io/Logging_2481/artfynd/A 33586-2024 artfynd.xlsx", "A 33586-2024")</f>
        <v/>
      </c>
      <c r="T654">
        <f>HYPERLINK("https://klasma.github.io/Logging_2481/kartor/A 33586-2024 karta.png", "A 33586-2024")</f>
        <v/>
      </c>
      <c r="V654">
        <f>HYPERLINK("https://klasma.github.io/Logging_2481/klagomål/A 33586-2024 FSC-klagomål.docx", "A 33586-2024")</f>
        <v/>
      </c>
      <c r="W654">
        <f>HYPERLINK("https://klasma.github.io/Logging_2481/klagomålsmail/A 33586-2024 FSC-klagomål mail.docx", "A 33586-2024")</f>
        <v/>
      </c>
      <c r="X654">
        <f>HYPERLINK("https://klasma.github.io/Logging_2481/tillsyn/A 33586-2024 tillsynsbegäran.docx", "A 33586-2024")</f>
        <v/>
      </c>
      <c r="Y654">
        <f>HYPERLINK("https://klasma.github.io/Logging_2481/tillsynsmail/A 33586-2024 tillsynsbegäran mail.docx", "A 33586-2024")</f>
        <v/>
      </c>
    </row>
    <row r="655" ht="15" customHeight="1">
      <c r="A655" t="inlineStr">
        <is>
          <t>A 33857-2024</t>
        </is>
      </c>
      <c r="B655" s="1" t="n">
        <v>45520</v>
      </c>
      <c r="C655" s="1" t="n">
        <v>45788</v>
      </c>
      <c r="D655" t="inlineStr">
        <is>
          <t>VÄSTERBOTTENS LÄN</t>
        </is>
      </c>
      <c r="E655" t="inlineStr">
        <is>
          <t>STORUMAN</t>
        </is>
      </c>
      <c r="F655" t="inlineStr">
        <is>
          <t>Sveaskog</t>
        </is>
      </c>
      <c r="G655" t="n">
        <v>7.9</v>
      </c>
      <c r="H655" t="n">
        <v>1</v>
      </c>
      <c r="I655" t="n">
        <v>1</v>
      </c>
      <c r="J655" t="n">
        <v>3</v>
      </c>
      <c r="K655" t="n">
        <v>0</v>
      </c>
      <c r="L655" t="n">
        <v>0</v>
      </c>
      <c r="M655" t="n">
        <v>0</v>
      </c>
      <c r="N655" t="n">
        <v>0</v>
      </c>
      <c r="O655" t="n">
        <v>3</v>
      </c>
      <c r="P655" t="n">
        <v>0</v>
      </c>
      <c r="Q655" t="n">
        <v>4</v>
      </c>
      <c r="R655" s="2" t="inlineStr">
        <is>
          <t>Järpe
Kolflarnlav
Mörk kolflarnlav
Skinnlav</t>
        </is>
      </c>
      <c r="S655">
        <f>HYPERLINK("https://klasma.github.io/Logging_2421/artfynd/A 33857-2024 artfynd.xlsx", "A 33857-2024")</f>
        <v/>
      </c>
      <c r="T655">
        <f>HYPERLINK("https://klasma.github.io/Logging_2421/kartor/A 33857-2024 karta.png", "A 33857-2024")</f>
        <v/>
      </c>
      <c r="V655">
        <f>HYPERLINK("https://klasma.github.io/Logging_2421/klagomål/A 33857-2024 FSC-klagomål.docx", "A 33857-2024")</f>
        <v/>
      </c>
      <c r="W655">
        <f>HYPERLINK("https://klasma.github.io/Logging_2421/klagomålsmail/A 33857-2024 FSC-klagomål mail.docx", "A 33857-2024")</f>
        <v/>
      </c>
      <c r="X655">
        <f>HYPERLINK("https://klasma.github.io/Logging_2421/tillsyn/A 33857-2024 tillsynsbegäran.docx", "A 33857-2024")</f>
        <v/>
      </c>
      <c r="Y655">
        <f>HYPERLINK("https://klasma.github.io/Logging_2421/tillsynsmail/A 33857-2024 tillsynsbegäran mail.docx", "A 33857-2024")</f>
        <v/>
      </c>
      <c r="Z655">
        <f>HYPERLINK("https://klasma.github.io/Logging_2421/fåglar/A 33857-2024 prioriterade fågelarter.docx", "A 33857-2024")</f>
        <v/>
      </c>
    </row>
    <row r="656" ht="15" customHeight="1">
      <c r="A656" t="inlineStr">
        <is>
          <t>A 33974-2024</t>
        </is>
      </c>
      <c r="B656" s="1" t="n">
        <v>45523</v>
      </c>
      <c r="C656" s="1" t="n">
        <v>45788</v>
      </c>
      <c r="D656" t="inlineStr">
        <is>
          <t>VÄSTERBOTTENS LÄN</t>
        </is>
      </c>
      <c r="E656" t="inlineStr">
        <is>
          <t>UMEÅ</t>
        </is>
      </c>
      <c r="G656" t="n">
        <v>1.5</v>
      </c>
      <c r="H656" t="n">
        <v>2</v>
      </c>
      <c r="I656" t="n">
        <v>1</v>
      </c>
      <c r="J656" t="n">
        <v>3</v>
      </c>
      <c r="K656" t="n">
        <v>0</v>
      </c>
      <c r="L656" t="n">
        <v>0</v>
      </c>
      <c r="M656" t="n">
        <v>0</v>
      </c>
      <c r="N656" t="n">
        <v>0</v>
      </c>
      <c r="O656" t="n">
        <v>3</v>
      </c>
      <c r="P656" t="n">
        <v>0</v>
      </c>
      <c r="Q656" t="n">
        <v>4</v>
      </c>
      <c r="R656" s="2" t="inlineStr">
        <is>
          <t>Garnlav
Talltita
Tretåig hackspett
Vedticka</t>
        </is>
      </c>
      <c r="S656">
        <f>HYPERLINK("https://klasma.github.io/Logging_2480/artfynd/A 33974-2024 artfynd.xlsx", "A 33974-2024")</f>
        <v/>
      </c>
      <c r="T656">
        <f>HYPERLINK("https://klasma.github.io/Logging_2480/kartor/A 33974-2024 karta.png", "A 33974-2024")</f>
        <v/>
      </c>
      <c r="V656">
        <f>HYPERLINK("https://klasma.github.io/Logging_2480/klagomål/A 33974-2024 FSC-klagomål.docx", "A 33974-2024")</f>
        <v/>
      </c>
      <c r="W656">
        <f>HYPERLINK("https://klasma.github.io/Logging_2480/klagomålsmail/A 33974-2024 FSC-klagomål mail.docx", "A 33974-2024")</f>
        <v/>
      </c>
      <c r="X656">
        <f>HYPERLINK("https://klasma.github.io/Logging_2480/tillsyn/A 33974-2024 tillsynsbegäran.docx", "A 33974-2024")</f>
        <v/>
      </c>
      <c r="Y656">
        <f>HYPERLINK("https://klasma.github.io/Logging_2480/tillsynsmail/A 33974-2024 tillsynsbegäran mail.docx", "A 33974-2024")</f>
        <v/>
      </c>
      <c r="Z656">
        <f>HYPERLINK("https://klasma.github.io/Logging_2480/fåglar/A 33974-2024 prioriterade fågelarter.docx", "A 33974-2024")</f>
        <v/>
      </c>
    </row>
    <row r="657" ht="15" customHeight="1">
      <c r="A657" t="inlineStr">
        <is>
          <t>A 34687-2024</t>
        </is>
      </c>
      <c r="B657" s="1" t="n">
        <v>45526</v>
      </c>
      <c r="C657" s="1" t="n">
        <v>45788</v>
      </c>
      <c r="D657" t="inlineStr">
        <is>
          <t>VÄSTERBOTTENS LÄN</t>
        </is>
      </c>
      <c r="E657" t="inlineStr">
        <is>
          <t>VINDELN</t>
        </is>
      </c>
      <c r="F657" t="inlineStr">
        <is>
          <t>Sveaskog</t>
        </is>
      </c>
      <c r="G657" t="n">
        <v>20.8</v>
      </c>
      <c r="H657" t="n">
        <v>0</v>
      </c>
      <c r="I657" t="n">
        <v>3</v>
      </c>
      <c r="J657" t="n">
        <v>1</v>
      </c>
      <c r="K657" t="n">
        <v>0</v>
      </c>
      <c r="L657" t="n">
        <v>0</v>
      </c>
      <c r="M657" t="n">
        <v>0</v>
      </c>
      <c r="N657" t="n">
        <v>0</v>
      </c>
      <c r="O657" t="n">
        <v>1</v>
      </c>
      <c r="P657" t="n">
        <v>0</v>
      </c>
      <c r="Q657" t="n">
        <v>4</v>
      </c>
      <c r="R657" s="2" t="inlineStr">
        <is>
          <t>Garnlav
Bollvitmossa
Källpraktmossa
Skör kvastmossa</t>
        </is>
      </c>
      <c r="S657">
        <f>HYPERLINK("https://klasma.github.io/Logging_2404/artfynd/A 34687-2024 artfynd.xlsx", "A 34687-2024")</f>
        <v/>
      </c>
      <c r="T657">
        <f>HYPERLINK("https://klasma.github.io/Logging_2404/kartor/A 34687-2024 karta.png", "A 34687-2024")</f>
        <v/>
      </c>
      <c r="V657">
        <f>HYPERLINK("https://klasma.github.io/Logging_2404/klagomål/A 34687-2024 FSC-klagomål.docx", "A 34687-2024")</f>
        <v/>
      </c>
      <c r="W657">
        <f>HYPERLINK("https://klasma.github.io/Logging_2404/klagomålsmail/A 34687-2024 FSC-klagomål mail.docx", "A 34687-2024")</f>
        <v/>
      </c>
      <c r="X657">
        <f>HYPERLINK("https://klasma.github.io/Logging_2404/tillsyn/A 34687-2024 tillsynsbegäran.docx", "A 34687-2024")</f>
        <v/>
      </c>
      <c r="Y657">
        <f>HYPERLINK("https://klasma.github.io/Logging_2404/tillsynsmail/A 34687-2024 tillsynsbegäran mail.docx", "A 34687-2024")</f>
        <v/>
      </c>
    </row>
    <row r="658" ht="15" customHeight="1">
      <c r="A658" t="inlineStr">
        <is>
          <t>A 35790-2024</t>
        </is>
      </c>
      <c r="B658" s="1" t="n">
        <v>45532</v>
      </c>
      <c r="C658" s="1" t="n">
        <v>45788</v>
      </c>
      <c r="D658" t="inlineStr">
        <is>
          <t>VÄSTERBOTTENS LÄN</t>
        </is>
      </c>
      <c r="E658" t="inlineStr">
        <is>
          <t>LYCKSELE</t>
        </is>
      </c>
      <c r="F658" t="inlineStr">
        <is>
          <t>Sveaskog</t>
        </is>
      </c>
      <c r="G658" t="n">
        <v>4.4</v>
      </c>
      <c r="H658" t="n">
        <v>1</v>
      </c>
      <c r="I658" t="n">
        <v>0</v>
      </c>
      <c r="J658" t="n">
        <v>4</v>
      </c>
      <c r="K658" t="n">
        <v>0</v>
      </c>
      <c r="L658" t="n">
        <v>0</v>
      </c>
      <c r="M658" t="n">
        <v>0</v>
      </c>
      <c r="N658" t="n">
        <v>0</v>
      </c>
      <c r="O658" t="n">
        <v>4</v>
      </c>
      <c r="P658" t="n">
        <v>0</v>
      </c>
      <c r="Q658" t="n">
        <v>4</v>
      </c>
      <c r="R658" s="2" t="inlineStr">
        <is>
          <t>Dvärgbägarlav
Tallriska
Talltita
Äggvaxskivling</t>
        </is>
      </c>
      <c r="S658">
        <f>HYPERLINK("https://klasma.github.io/Logging_2481/artfynd/A 35790-2024 artfynd.xlsx", "A 35790-2024")</f>
        <v/>
      </c>
      <c r="T658">
        <f>HYPERLINK("https://klasma.github.io/Logging_2481/kartor/A 35790-2024 karta.png", "A 35790-2024")</f>
        <v/>
      </c>
      <c r="V658">
        <f>HYPERLINK("https://klasma.github.io/Logging_2481/klagomål/A 35790-2024 FSC-klagomål.docx", "A 35790-2024")</f>
        <v/>
      </c>
      <c r="W658">
        <f>HYPERLINK("https://klasma.github.io/Logging_2481/klagomålsmail/A 35790-2024 FSC-klagomål mail.docx", "A 35790-2024")</f>
        <v/>
      </c>
      <c r="X658">
        <f>HYPERLINK("https://klasma.github.io/Logging_2481/tillsyn/A 35790-2024 tillsynsbegäran.docx", "A 35790-2024")</f>
        <v/>
      </c>
      <c r="Y658">
        <f>HYPERLINK("https://klasma.github.io/Logging_2481/tillsynsmail/A 35790-2024 tillsynsbegäran mail.docx", "A 35790-2024")</f>
        <v/>
      </c>
      <c r="Z658">
        <f>HYPERLINK("https://klasma.github.io/Logging_2481/fåglar/A 35790-2024 prioriterade fågelarter.docx", "A 35790-2024")</f>
        <v/>
      </c>
    </row>
    <row r="659" ht="15" customHeight="1">
      <c r="A659" t="inlineStr">
        <is>
          <t>A 38124-2024</t>
        </is>
      </c>
      <c r="B659" s="1" t="n">
        <v>45545</v>
      </c>
      <c r="C659" s="1" t="n">
        <v>45788</v>
      </c>
      <c r="D659" t="inlineStr">
        <is>
          <t>VÄSTERBOTTENS LÄN</t>
        </is>
      </c>
      <c r="E659" t="inlineStr">
        <is>
          <t>VILHELMINA</t>
        </is>
      </c>
      <c r="F659" t="inlineStr">
        <is>
          <t>SCA</t>
        </is>
      </c>
      <c r="G659" t="n">
        <v>3.2</v>
      </c>
      <c r="H659" t="n">
        <v>3</v>
      </c>
      <c r="I659" t="n">
        <v>0</v>
      </c>
      <c r="J659" t="n">
        <v>3</v>
      </c>
      <c r="K659" t="n">
        <v>0</v>
      </c>
      <c r="L659" t="n">
        <v>0</v>
      </c>
      <c r="M659" t="n">
        <v>0</v>
      </c>
      <c r="N659" t="n">
        <v>0</v>
      </c>
      <c r="O659" t="n">
        <v>3</v>
      </c>
      <c r="P659" t="n">
        <v>0</v>
      </c>
      <c r="Q659" t="n">
        <v>4</v>
      </c>
      <c r="R659" s="2" t="inlineStr">
        <is>
          <t>Garnlav
Spillkråka
Tretåig hackspett
Lavskrika</t>
        </is>
      </c>
      <c r="S659">
        <f>HYPERLINK("https://klasma.github.io/Logging_2462/artfynd/A 38124-2024 artfynd.xlsx", "A 38124-2024")</f>
        <v/>
      </c>
      <c r="T659">
        <f>HYPERLINK("https://klasma.github.io/Logging_2462/kartor/A 38124-2024 karta.png", "A 38124-2024")</f>
        <v/>
      </c>
      <c r="V659">
        <f>HYPERLINK("https://klasma.github.io/Logging_2462/klagomål/A 38124-2024 FSC-klagomål.docx", "A 38124-2024")</f>
        <v/>
      </c>
      <c r="W659">
        <f>HYPERLINK("https://klasma.github.io/Logging_2462/klagomålsmail/A 38124-2024 FSC-klagomål mail.docx", "A 38124-2024")</f>
        <v/>
      </c>
      <c r="X659">
        <f>HYPERLINK("https://klasma.github.io/Logging_2462/tillsyn/A 38124-2024 tillsynsbegäran.docx", "A 38124-2024")</f>
        <v/>
      </c>
      <c r="Y659">
        <f>HYPERLINK("https://klasma.github.io/Logging_2462/tillsynsmail/A 38124-2024 tillsynsbegäran mail.docx", "A 38124-2024")</f>
        <v/>
      </c>
      <c r="Z659">
        <f>HYPERLINK("https://klasma.github.io/Logging_2462/fåglar/A 38124-2024 prioriterade fågelarter.docx", "A 38124-2024")</f>
        <v/>
      </c>
    </row>
    <row r="660" ht="15" customHeight="1">
      <c r="A660" t="inlineStr">
        <is>
          <t>A 39942-2024</t>
        </is>
      </c>
      <c r="B660" s="1" t="n">
        <v>45553</v>
      </c>
      <c r="C660" s="1" t="n">
        <v>45788</v>
      </c>
      <c r="D660" t="inlineStr">
        <is>
          <t>VÄSTERBOTTENS LÄN</t>
        </is>
      </c>
      <c r="E660" t="inlineStr">
        <is>
          <t>VINDELN</t>
        </is>
      </c>
      <c r="F660" t="inlineStr">
        <is>
          <t>Holmen skog AB</t>
        </is>
      </c>
      <c r="G660" t="n">
        <v>7.4</v>
      </c>
      <c r="H660" t="n">
        <v>2</v>
      </c>
      <c r="I660" t="n">
        <v>1</v>
      </c>
      <c r="J660" t="n">
        <v>2</v>
      </c>
      <c r="K660" t="n">
        <v>1</v>
      </c>
      <c r="L660" t="n">
        <v>0</v>
      </c>
      <c r="M660" t="n">
        <v>0</v>
      </c>
      <c r="N660" t="n">
        <v>0</v>
      </c>
      <c r="O660" t="n">
        <v>3</v>
      </c>
      <c r="P660" t="n">
        <v>1</v>
      </c>
      <c r="Q660" t="n">
        <v>4</v>
      </c>
      <c r="R660" s="2" t="inlineStr">
        <is>
          <t>Knärot
Granticka
Tretåig hackspett
Vedticka</t>
        </is>
      </c>
      <c r="S660">
        <f>HYPERLINK("https://klasma.github.io/Logging_2404/artfynd/A 39942-2024 artfynd.xlsx", "A 39942-2024")</f>
        <v/>
      </c>
      <c r="T660">
        <f>HYPERLINK("https://klasma.github.io/Logging_2404/kartor/A 39942-2024 karta.png", "A 39942-2024")</f>
        <v/>
      </c>
      <c r="U660">
        <f>HYPERLINK("https://klasma.github.io/Logging_2404/knärot/A 39942-2024 karta knärot.png", "A 39942-2024")</f>
        <v/>
      </c>
      <c r="V660">
        <f>HYPERLINK("https://klasma.github.io/Logging_2404/klagomål/A 39942-2024 FSC-klagomål.docx", "A 39942-2024")</f>
        <v/>
      </c>
      <c r="W660">
        <f>HYPERLINK("https://klasma.github.io/Logging_2404/klagomålsmail/A 39942-2024 FSC-klagomål mail.docx", "A 39942-2024")</f>
        <v/>
      </c>
      <c r="X660">
        <f>HYPERLINK("https://klasma.github.io/Logging_2404/tillsyn/A 39942-2024 tillsynsbegäran.docx", "A 39942-2024")</f>
        <v/>
      </c>
      <c r="Y660">
        <f>HYPERLINK("https://klasma.github.io/Logging_2404/tillsynsmail/A 39942-2024 tillsynsbegäran mail.docx", "A 39942-2024")</f>
        <v/>
      </c>
      <c r="Z660">
        <f>HYPERLINK("https://klasma.github.io/Logging_2404/fåglar/A 39942-2024 prioriterade fågelarter.docx", "A 39942-2024")</f>
        <v/>
      </c>
    </row>
    <row r="661" ht="15" customHeight="1">
      <c r="A661" t="inlineStr">
        <is>
          <t>A 40484-2024</t>
        </is>
      </c>
      <c r="B661" s="1" t="n">
        <v>45555</v>
      </c>
      <c r="C661" s="1" t="n">
        <v>45788</v>
      </c>
      <c r="D661" t="inlineStr">
        <is>
          <t>VÄSTERBOTTENS LÄN</t>
        </is>
      </c>
      <c r="E661" t="inlineStr">
        <is>
          <t>SKELLEFTEÅ</t>
        </is>
      </c>
      <c r="G661" t="n">
        <v>2</v>
      </c>
      <c r="H661" t="n">
        <v>0</v>
      </c>
      <c r="I661" t="n">
        <v>1</v>
      </c>
      <c r="J661" t="n">
        <v>2</v>
      </c>
      <c r="K661" t="n">
        <v>1</v>
      </c>
      <c r="L661" t="n">
        <v>0</v>
      </c>
      <c r="M661" t="n">
        <v>0</v>
      </c>
      <c r="N661" t="n">
        <v>0</v>
      </c>
      <c r="O661" t="n">
        <v>3</v>
      </c>
      <c r="P661" t="n">
        <v>1</v>
      </c>
      <c r="Q661" t="n">
        <v>4</v>
      </c>
      <c r="R661" s="2" t="inlineStr">
        <is>
          <t>Smalfotad taggsvamp
Skrovlig taggsvamp
Talltaggsvamp
Dropptaggsvamp</t>
        </is>
      </c>
      <c r="S661">
        <f>HYPERLINK("https://klasma.github.io/Logging_2482/artfynd/A 40484-2024 artfynd.xlsx", "A 40484-2024")</f>
        <v/>
      </c>
      <c r="T661">
        <f>HYPERLINK("https://klasma.github.io/Logging_2482/kartor/A 40484-2024 karta.png", "A 40484-2024")</f>
        <v/>
      </c>
      <c r="V661">
        <f>HYPERLINK("https://klasma.github.io/Logging_2482/klagomål/A 40484-2024 FSC-klagomål.docx", "A 40484-2024")</f>
        <v/>
      </c>
      <c r="W661">
        <f>HYPERLINK("https://klasma.github.io/Logging_2482/klagomålsmail/A 40484-2024 FSC-klagomål mail.docx", "A 40484-2024")</f>
        <v/>
      </c>
      <c r="X661">
        <f>HYPERLINK("https://klasma.github.io/Logging_2482/tillsyn/A 40484-2024 tillsynsbegäran.docx", "A 40484-2024")</f>
        <v/>
      </c>
      <c r="Y661">
        <f>HYPERLINK("https://klasma.github.io/Logging_2482/tillsynsmail/A 40484-2024 tillsynsbegäran mail.docx", "A 40484-2024")</f>
        <v/>
      </c>
    </row>
    <row r="662" ht="15" customHeight="1">
      <c r="A662" t="inlineStr">
        <is>
          <t>A 40736-2024</t>
        </is>
      </c>
      <c r="B662" s="1" t="n">
        <v>45558</v>
      </c>
      <c r="C662" s="1" t="n">
        <v>45788</v>
      </c>
      <c r="D662" t="inlineStr">
        <is>
          <t>VÄSTERBOTTENS LÄN</t>
        </is>
      </c>
      <c r="E662" t="inlineStr">
        <is>
          <t>VILHELMINA</t>
        </is>
      </c>
      <c r="F662" t="inlineStr">
        <is>
          <t>Allmännings- och besparingsskogar</t>
        </is>
      </c>
      <c r="G662" t="n">
        <v>284.2</v>
      </c>
      <c r="H662" t="n">
        <v>0</v>
      </c>
      <c r="I662" t="n">
        <v>0</v>
      </c>
      <c r="J662" t="n">
        <v>4</v>
      </c>
      <c r="K662" t="n">
        <v>0</v>
      </c>
      <c r="L662" t="n">
        <v>0</v>
      </c>
      <c r="M662" t="n">
        <v>0</v>
      </c>
      <c r="N662" t="n">
        <v>0</v>
      </c>
      <c r="O662" t="n">
        <v>4</v>
      </c>
      <c r="P662" t="n">
        <v>0</v>
      </c>
      <c r="Q662" t="n">
        <v>4</v>
      </c>
      <c r="R662" s="2" t="inlineStr">
        <is>
          <t>Gammelgransskål
Granticka
Knottrig blåslav
Rödbrun blekspik</t>
        </is>
      </c>
      <c r="S662">
        <f>HYPERLINK("https://klasma.github.io/Logging_2462/artfynd/A 40736-2024 artfynd.xlsx", "A 40736-2024")</f>
        <v/>
      </c>
      <c r="T662">
        <f>HYPERLINK("https://klasma.github.io/Logging_2462/kartor/A 40736-2024 karta.png", "A 40736-2024")</f>
        <v/>
      </c>
      <c r="V662">
        <f>HYPERLINK("https://klasma.github.io/Logging_2462/klagomål/A 40736-2024 FSC-klagomål.docx", "A 40736-2024")</f>
        <v/>
      </c>
      <c r="W662">
        <f>HYPERLINK("https://klasma.github.io/Logging_2462/klagomålsmail/A 40736-2024 FSC-klagomål mail.docx", "A 40736-2024")</f>
        <v/>
      </c>
      <c r="X662">
        <f>HYPERLINK("https://klasma.github.io/Logging_2462/tillsyn/A 40736-2024 tillsynsbegäran.docx", "A 40736-2024")</f>
        <v/>
      </c>
      <c r="Y662">
        <f>HYPERLINK("https://klasma.github.io/Logging_2462/tillsynsmail/A 40736-2024 tillsynsbegäran mail.docx", "A 40736-2024")</f>
        <v/>
      </c>
    </row>
    <row r="663" ht="15" customHeight="1">
      <c r="A663" t="inlineStr">
        <is>
          <t>A 40760-2024</t>
        </is>
      </c>
      <c r="B663" s="1" t="n">
        <v>45558</v>
      </c>
      <c r="C663" s="1" t="n">
        <v>45788</v>
      </c>
      <c r="D663" t="inlineStr">
        <is>
          <t>VÄSTERBOTTENS LÄN</t>
        </is>
      </c>
      <c r="E663" t="inlineStr">
        <is>
          <t>VINDELN</t>
        </is>
      </c>
      <c r="F663" t="inlineStr">
        <is>
          <t>Holmen skog AB</t>
        </is>
      </c>
      <c r="G663" t="n">
        <v>8.1</v>
      </c>
      <c r="H663" t="n">
        <v>0</v>
      </c>
      <c r="I663" t="n">
        <v>2</v>
      </c>
      <c r="J663" t="n">
        <v>2</v>
      </c>
      <c r="K663" t="n">
        <v>0</v>
      </c>
      <c r="L663" t="n">
        <v>0</v>
      </c>
      <c r="M663" t="n">
        <v>0</v>
      </c>
      <c r="N663" t="n">
        <v>0</v>
      </c>
      <c r="O663" t="n">
        <v>2</v>
      </c>
      <c r="P663" t="n">
        <v>0</v>
      </c>
      <c r="Q663" t="n">
        <v>4</v>
      </c>
      <c r="R663" s="2" t="inlineStr">
        <is>
          <t>Granticka
Ullticka
Skinnlav
Trådticka</t>
        </is>
      </c>
      <c r="S663">
        <f>HYPERLINK("https://klasma.github.io/Logging_2404/artfynd/A 40760-2024 artfynd.xlsx", "A 40760-2024")</f>
        <v/>
      </c>
      <c r="T663">
        <f>HYPERLINK("https://klasma.github.io/Logging_2404/kartor/A 40760-2024 karta.png", "A 40760-2024")</f>
        <v/>
      </c>
      <c r="V663">
        <f>HYPERLINK("https://klasma.github.io/Logging_2404/klagomål/A 40760-2024 FSC-klagomål.docx", "A 40760-2024")</f>
        <v/>
      </c>
      <c r="W663">
        <f>HYPERLINK("https://klasma.github.io/Logging_2404/klagomålsmail/A 40760-2024 FSC-klagomål mail.docx", "A 40760-2024")</f>
        <v/>
      </c>
      <c r="X663">
        <f>HYPERLINK("https://klasma.github.io/Logging_2404/tillsyn/A 40760-2024 tillsynsbegäran.docx", "A 40760-2024")</f>
        <v/>
      </c>
      <c r="Y663">
        <f>HYPERLINK("https://klasma.github.io/Logging_2404/tillsynsmail/A 40760-2024 tillsynsbegäran mail.docx", "A 40760-2024")</f>
        <v/>
      </c>
    </row>
    <row r="664" ht="15" customHeight="1">
      <c r="A664" t="inlineStr">
        <is>
          <t>A 41550-2024</t>
        </is>
      </c>
      <c r="B664" s="1" t="n">
        <v>45560</v>
      </c>
      <c r="C664" s="1" t="n">
        <v>45788</v>
      </c>
      <c r="D664" t="inlineStr">
        <is>
          <t>VÄSTERBOTTENS LÄN</t>
        </is>
      </c>
      <c r="E664" t="inlineStr">
        <is>
          <t>ROBERTSFORS</t>
        </is>
      </c>
      <c r="F664" t="inlineStr">
        <is>
          <t>Holmen skog AB</t>
        </is>
      </c>
      <c r="G664" t="n">
        <v>2.9</v>
      </c>
      <c r="H664" t="n">
        <v>0</v>
      </c>
      <c r="I664" t="n">
        <v>0</v>
      </c>
      <c r="J664" t="n">
        <v>4</v>
      </c>
      <c r="K664" t="n">
        <v>0</v>
      </c>
      <c r="L664" t="n">
        <v>0</v>
      </c>
      <c r="M664" t="n">
        <v>0</v>
      </c>
      <c r="N664" t="n">
        <v>0</v>
      </c>
      <c r="O664" t="n">
        <v>4</v>
      </c>
      <c r="P664" t="n">
        <v>0</v>
      </c>
      <c r="Q664" t="n">
        <v>4</v>
      </c>
      <c r="R664" s="2" t="inlineStr">
        <is>
          <t>Garnlav
Granticka
Harticka
Ullticka</t>
        </is>
      </c>
      <c r="S664">
        <f>HYPERLINK("https://klasma.github.io/Logging_2409/artfynd/A 41550-2024 artfynd.xlsx", "A 41550-2024")</f>
        <v/>
      </c>
      <c r="T664">
        <f>HYPERLINK("https://klasma.github.io/Logging_2409/kartor/A 41550-2024 karta.png", "A 41550-2024")</f>
        <v/>
      </c>
      <c r="V664">
        <f>HYPERLINK("https://klasma.github.io/Logging_2409/klagomål/A 41550-2024 FSC-klagomål.docx", "A 41550-2024")</f>
        <v/>
      </c>
      <c r="W664">
        <f>HYPERLINK("https://klasma.github.io/Logging_2409/klagomålsmail/A 41550-2024 FSC-klagomål mail.docx", "A 41550-2024")</f>
        <v/>
      </c>
      <c r="X664">
        <f>HYPERLINK("https://klasma.github.io/Logging_2409/tillsyn/A 41550-2024 tillsynsbegäran.docx", "A 41550-2024")</f>
        <v/>
      </c>
      <c r="Y664">
        <f>HYPERLINK("https://klasma.github.io/Logging_2409/tillsynsmail/A 41550-2024 tillsynsbegäran mail.docx", "A 41550-2024")</f>
        <v/>
      </c>
    </row>
    <row r="665" ht="15" customHeight="1">
      <c r="A665" t="inlineStr">
        <is>
          <t>A 42812-2024</t>
        </is>
      </c>
      <c r="B665" s="1" t="n">
        <v>45566</v>
      </c>
      <c r="C665" s="1" t="n">
        <v>45788</v>
      </c>
      <c r="D665" t="inlineStr">
        <is>
          <t>VÄSTERBOTTENS LÄN</t>
        </is>
      </c>
      <c r="E665" t="inlineStr">
        <is>
          <t>UMEÅ</t>
        </is>
      </c>
      <c r="F665" t="inlineStr">
        <is>
          <t>Holmen skog AB</t>
        </is>
      </c>
      <c r="G665" t="n">
        <v>9.300000000000001</v>
      </c>
      <c r="H665" t="n">
        <v>3</v>
      </c>
      <c r="I665" t="n">
        <v>0</v>
      </c>
      <c r="J665" t="n">
        <v>3</v>
      </c>
      <c r="K665" t="n">
        <v>0</v>
      </c>
      <c r="L665" t="n">
        <v>0</v>
      </c>
      <c r="M665" t="n">
        <v>0</v>
      </c>
      <c r="N665" t="n">
        <v>0</v>
      </c>
      <c r="O665" t="n">
        <v>3</v>
      </c>
      <c r="P665" t="n">
        <v>0</v>
      </c>
      <c r="Q665" t="n">
        <v>4</v>
      </c>
      <c r="R665" s="2" t="inlineStr">
        <is>
          <t>Garnlav
Järpe
Talltita
Tjäder</t>
        </is>
      </c>
      <c r="S665">
        <f>HYPERLINK("https://klasma.github.io/Logging_2480/artfynd/A 42812-2024 artfynd.xlsx", "A 42812-2024")</f>
        <v/>
      </c>
      <c r="T665">
        <f>HYPERLINK("https://klasma.github.io/Logging_2480/kartor/A 42812-2024 karta.png", "A 42812-2024")</f>
        <v/>
      </c>
      <c r="V665">
        <f>HYPERLINK("https://klasma.github.io/Logging_2480/klagomål/A 42812-2024 FSC-klagomål.docx", "A 42812-2024")</f>
        <v/>
      </c>
      <c r="W665">
        <f>HYPERLINK("https://klasma.github.io/Logging_2480/klagomålsmail/A 42812-2024 FSC-klagomål mail.docx", "A 42812-2024")</f>
        <v/>
      </c>
      <c r="X665">
        <f>HYPERLINK("https://klasma.github.io/Logging_2480/tillsyn/A 42812-2024 tillsynsbegäran.docx", "A 42812-2024")</f>
        <v/>
      </c>
      <c r="Y665">
        <f>HYPERLINK("https://klasma.github.io/Logging_2480/tillsynsmail/A 42812-2024 tillsynsbegäran mail.docx", "A 42812-2024")</f>
        <v/>
      </c>
      <c r="Z665">
        <f>HYPERLINK("https://klasma.github.io/Logging_2480/fåglar/A 42812-2024 prioriterade fågelarter.docx", "A 42812-2024")</f>
        <v/>
      </c>
    </row>
    <row r="666" ht="15" customHeight="1">
      <c r="A666" t="inlineStr">
        <is>
          <t>A 43000-2024</t>
        </is>
      </c>
      <c r="B666" s="1" t="n">
        <v>45567</v>
      </c>
      <c r="C666" s="1" t="n">
        <v>45788</v>
      </c>
      <c r="D666" t="inlineStr">
        <is>
          <t>VÄSTERBOTTENS LÄN</t>
        </is>
      </c>
      <c r="E666" t="inlineStr">
        <is>
          <t>SKELLEFTEÅ</t>
        </is>
      </c>
      <c r="G666" t="n">
        <v>4.4</v>
      </c>
      <c r="H666" t="n">
        <v>2</v>
      </c>
      <c r="I666" t="n">
        <v>0</v>
      </c>
      <c r="J666" t="n">
        <v>4</v>
      </c>
      <c r="K666" t="n">
        <v>0</v>
      </c>
      <c r="L666" t="n">
        <v>0</v>
      </c>
      <c r="M666" t="n">
        <v>0</v>
      </c>
      <c r="N666" t="n">
        <v>0</v>
      </c>
      <c r="O666" t="n">
        <v>4</v>
      </c>
      <c r="P666" t="n">
        <v>0</v>
      </c>
      <c r="Q666" t="n">
        <v>4</v>
      </c>
      <c r="R666" s="2" t="inlineStr">
        <is>
          <t>Gammelgransskål
Granticka
Talltita
Tretåig hackspett</t>
        </is>
      </c>
      <c r="S666">
        <f>HYPERLINK("https://klasma.github.io/Logging_2482/artfynd/A 43000-2024 artfynd.xlsx", "A 43000-2024")</f>
        <v/>
      </c>
      <c r="T666">
        <f>HYPERLINK("https://klasma.github.io/Logging_2482/kartor/A 43000-2024 karta.png", "A 43000-2024")</f>
        <v/>
      </c>
      <c r="V666">
        <f>HYPERLINK("https://klasma.github.io/Logging_2482/klagomål/A 43000-2024 FSC-klagomål.docx", "A 43000-2024")</f>
        <v/>
      </c>
      <c r="W666">
        <f>HYPERLINK("https://klasma.github.io/Logging_2482/klagomålsmail/A 43000-2024 FSC-klagomål mail.docx", "A 43000-2024")</f>
        <v/>
      </c>
      <c r="X666">
        <f>HYPERLINK("https://klasma.github.io/Logging_2482/tillsyn/A 43000-2024 tillsynsbegäran.docx", "A 43000-2024")</f>
        <v/>
      </c>
      <c r="Y666">
        <f>HYPERLINK("https://klasma.github.io/Logging_2482/tillsynsmail/A 43000-2024 tillsynsbegäran mail.docx", "A 43000-2024")</f>
        <v/>
      </c>
      <c r="Z666">
        <f>HYPERLINK("https://klasma.github.io/Logging_2482/fåglar/A 43000-2024 prioriterade fågelarter.docx", "A 43000-2024")</f>
        <v/>
      </c>
    </row>
    <row r="667" ht="15" customHeight="1">
      <c r="A667" t="inlineStr">
        <is>
          <t>A 46203-2024</t>
        </is>
      </c>
      <c r="B667" s="1" t="n">
        <v>45581</v>
      </c>
      <c r="C667" s="1" t="n">
        <v>45788</v>
      </c>
      <c r="D667" t="inlineStr">
        <is>
          <t>VÄSTERBOTTENS LÄN</t>
        </is>
      </c>
      <c r="E667" t="inlineStr">
        <is>
          <t>LYCKSELE</t>
        </is>
      </c>
      <c r="F667" t="inlineStr">
        <is>
          <t>Sveaskog</t>
        </is>
      </c>
      <c r="G667" t="n">
        <v>16.9</v>
      </c>
      <c r="H667" t="n">
        <v>0</v>
      </c>
      <c r="I667" t="n">
        <v>1</v>
      </c>
      <c r="J667" t="n">
        <v>3</v>
      </c>
      <c r="K667" t="n">
        <v>0</v>
      </c>
      <c r="L667" t="n">
        <v>0</v>
      </c>
      <c r="M667" t="n">
        <v>0</v>
      </c>
      <c r="N667" t="n">
        <v>0</v>
      </c>
      <c r="O667" t="n">
        <v>3</v>
      </c>
      <c r="P667" t="n">
        <v>0</v>
      </c>
      <c r="Q667" t="n">
        <v>4</v>
      </c>
      <c r="R667" s="2" t="inlineStr">
        <is>
          <t>Mörk kolflarnlav
Orange taggsvamp
Talltaggsvamp
Skarp dropptaggsvamp</t>
        </is>
      </c>
      <c r="S667">
        <f>HYPERLINK("https://klasma.github.io/Logging_2481/artfynd/A 46203-2024 artfynd.xlsx", "A 46203-2024")</f>
        <v/>
      </c>
      <c r="T667">
        <f>HYPERLINK("https://klasma.github.io/Logging_2481/kartor/A 46203-2024 karta.png", "A 46203-2024")</f>
        <v/>
      </c>
      <c r="V667">
        <f>HYPERLINK("https://klasma.github.io/Logging_2481/klagomål/A 46203-2024 FSC-klagomål.docx", "A 46203-2024")</f>
        <v/>
      </c>
      <c r="W667">
        <f>HYPERLINK("https://klasma.github.io/Logging_2481/klagomålsmail/A 46203-2024 FSC-klagomål mail.docx", "A 46203-2024")</f>
        <v/>
      </c>
      <c r="X667">
        <f>HYPERLINK("https://klasma.github.io/Logging_2481/tillsyn/A 46203-2024 tillsynsbegäran.docx", "A 46203-2024")</f>
        <v/>
      </c>
      <c r="Y667">
        <f>HYPERLINK("https://klasma.github.io/Logging_2481/tillsynsmail/A 46203-2024 tillsynsbegäran mail.docx", "A 46203-2024")</f>
        <v/>
      </c>
    </row>
    <row r="668" ht="15" customHeight="1">
      <c r="A668" t="inlineStr">
        <is>
          <t>A 47450-2024</t>
        </is>
      </c>
      <c r="B668" s="1" t="n">
        <v>45587</v>
      </c>
      <c r="C668" s="1" t="n">
        <v>45788</v>
      </c>
      <c r="D668" t="inlineStr">
        <is>
          <t>VÄSTERBOTTENS LÄN</t>
        </is>
      </c>
      <c r="E668" t="inlineStr">
        <is>
          <t>NORSJÖ</t>
        </is>
      </c>
      <c r="F668" t="inlineStr">
        <is>
          <t>Sveaskog</t>
        </is>
      </c>
      <c r="G668" t="n">
        <v>4.5</v>
      </c>
      <c r="H668" t="n">
        <v>0</v>
      </c>
      <c r="I668" t="n">
        <v>2</v>
      </c>
      <c r="J668" t="n">
        <v>2</v>
      </c>
      <c r="K668" t="n">
        <v>0</v>
      </c>
      <c r="L668" t="n">
        <v>0</v>
      </c>
      <c r="M668" t="n">
        <v>0</v>
      </c>
      <c r="N668" t="n">
        <v>0</v>
      </c>
      <c r="O668" t="n">
        <v>2</v>
      </c>
      <c r="P668" t="n">
        <v>0</v>
      </c>
      <c r="Q668" t="n">
        <v>4</v>
      </c>
      <c r="R668" s="2" t="inlineStr">
        <is>
          <t>Blå taggsvamp
Orange taggsvamp
Dropptaggsvamp
Nästlav</t>
        </is>
      </c>
      <c r="S668">
        <f>HYPERLINK("https://klasma.github.io/Logging_2417/artfynd/A 47450-2024 artfynd.xlsx", "A 47450-2024")</f>
        <v/>
      </c>
      <c r="T668">
        <f>HYPERLINK("https://klasma.github.io/Logging_2417/kartor/A 47450-2024 karta.png", "A 47450-2024")</f>
        <v/>
      </c>
      <c r="V668">
        <f>HYPERLINK("https://klasma.github.io/Logging_2417/klagomål/A 47450-2024 FSC-klagomål.docx", "A 47450-2024")</f>
        <v/>
      </c>
      <c r="W668">
        <f>HYPERLINK("https://klasma.github.io/Logging_2417/klagomålsmail/A 47450-2024 FSC-klagomål mail.docx", "A 47450-2024")</f>
        <v/>
      </c>
      <c r="X668">
        <f>HYPERLINK("https://klasma.github.io/Logging_2417/tillsyn/A 47450-2024 tillsynsbegäran.docx", "A 47450-2024")</f>
        <v/>
      </c>
      <c r="Y668">
        <f>HYPERLINK("https://klasma.github.io/Logging_2417/tillsynsmail/A 47450-2024 tillsynsbegäran mail.docx", "A 47450-2024")</f>
        <v/>
      </c>
    </row>
    <row r="669" ht="15" customHeight="1">
      <c r="A669" t="inlineStr">
        <is>
          <t>A 47332-2024</t>
        </is>
      </c>
      <c r="B669" s="1" t="n">
        <v>45587</v>
      </c>
      <c r="C669" s="1" t="n">
        <v>45788</v>
      </c>
      <c r="D669" t="inlineStr">
        <is>
          <t>VÄSTERBOTTENS LÄN</t>
        </is>
      </c>
      <c r="E669" t="inlineStr">
        <is>
          <t>NORSJÖ</t>
        </is>
      </c>
      <c r="F669" t="inlineStr">
        <is>
          <t>Sveaskog</t>
        </is>
      </c>
      <c r="G669" t="n">
        <v>17.5</v>
      </c>
      <c r="H669" t="n">
        <v>0</v>
      </c>
      <c r="I669" t="n">
        <v>1</v>
      </c>
      <c r="J669" t="n">
        <v>2</v>
      </c>
      <c r="K669" t="n">
        <v>1</v>
      </c>
      <c r="L669" t="n">
        <v>0</v>
      </c>
      <c r="M669" t="n">
        <v>0</v>
      </c>
      <c r="N669" t="n">
        <v>0</v>
      </c>
      <c r="O669" t="n">
        <v>3</v>
      </c>
      <c r="P669" t="n">
        <v>1</v>
      </c>
      <c r="Q669" t="n">
        <v>4</v>
      </c>
      <c r="R669" s="2" t="inlineStr">
        <is>
          <t>Lammticka
Motaggsvamp
Orange taggsvamp
Dropptaggsvamp</t>
        </is>
      </c>
      <c r="S669">
        <f>HYPERLINK("https://klasma.github.io/Logging_2417/artfynd/A 47332-2024 artfynd.xlsx", "A 47332-2024")</f>
        <v/>
      </c>
      <c r="T669">
        <f>HYPERLINK("https://klasma.github.io/Logging_2417/kartor/A 47332-2024 karta.png", "A 47332-2024")</f>
        <v/>
      </c>
      <c r="V669">
        <f>HYPERLINK("https://klasma.github.io/Logging_2417/klagomål/A 47332-2024 FSC-klagomål.docx", "A 47332-2024")</f>
        <v/>
      </c>
      <c r="W669">
        <f>HYPERLINK("https://klasma.github.io/Logging_2417/klagomålsmail/A 47332-2024 FSC-klagomål mail.docx", "A 47332-2024")</f>
        <v/>
      </c>
      <c r="X669">
        <f>HYPERLINK("https://klasma.github.io/Logging_2417/tillsyn/A 47332-2024 tillsynsbegäran.docx", "A 47332-2024")</f>
        <v/>
      </c>
      <c r="Y669">
        <f>HYPERLINK("https://klasma.github.io/Logging_2417/tillsynsmail/A 47332-2024 tillsynsbegäran mail.docx", "A 47332-2024")</f>
        <v/>
      </c>
    </row>
    <row r="670" ht="15" customHeight="1">
      <c r="A670" t="inlineStr">
        <is>
          <t>A 47977-2024</t>
        </is>
      </c>
      <c r="B670" s="1" t="n">
        <v>45589</v>
      </c>
      <c r="C670" s="1" t="n">
        <v>45788</v>
      </c>
      <c r="D670" t="inlineStr">
        <is>
          <t>VÄSTERBOTTENS LÄN</t>
        </is>
      </c>
      <c r="E670" t="inlineStr">
        <is>
          <t>LYCKSELE</t>
        </is>
      </c>
      <c r="F670" t="inlineStr">
        <is>
          <t>Sveaskog</t>
        </is>
      </c>
      <c r="G670" t="n">
        <v>3</v>
      </c>
      <c r="H670" t="n">
        <v>0</v>
      </c>
      <c r="I670" t="n">
        <v>0</v>
      </c>
      <c r="J670" t="n">
        <v>4</v>
      </c>
      <c r="K670" t="n">
        <v>0</v>
      </c>
      <c r="L670" t="n">
        <v>0</v>
      </c>
      <c r="M670" t="n">
        <v>0</v>
      </c>
      <c r="N670" t="n">
        <v>0</v>
      </c>
      <c r="O670" t="n">
        <v>4</v>
      </c>
      <c r="P670" t="n">
        <v>0</v>
      </c>
      <c r="Q670" t="n">
        <v>4</v>
      </c>
      <c r="R670" s="2" t="inlineStr">
        <is>
          <t>Blå taggsvamp
Kolflarnlav
Orange taggsvamp
Skrovlig taggsvamp</t>
        </is>
      </c>
      <c r="S670">
        <f>HYPERLINK("https://klasma.github.io/Logging_2481/artfynd/A 47977-2024 artfynd.xlsx", "A 47977-2024")</f>
        <v/>
      </c>
      <c r="T670">
        <f>HYPERLINK("https://klasma.github.io/Logging_2481/kartor/A 47977-2024 karta.png", "A 47977-2024")</f>
        <v/>
      </c>
      <c r="V670">
        <f>HYPERLINK("https://klasma.github.io/Logging_2481/klagomål/A 47977-2024 FSC-klagomål.docx", "A 47977-2024")</f>
        <v/>
      </c>
      <c r="W670">
        <f>HYPERLINK("https://klasma.github.io/Logging_2481/klagomålsmail/A 47977-2024 FSC-klagomål mail.docx", "A 47977-2024")</f>
        <v/>
      </c>
      <c r="X670">
        <f>HYPERLINK("https://klasma.github.io/Logging_2481/tillsyn/A 47977-2024 tillsynsbegäran.docx", "A 47977-2024")</f>
        <v/>
      </c>
      <c r="Y670">
        <f>HYPERLINK("https://klasma.github.io/Logging_2481/tillsynsmail/A 47977-2024 tillsynsbegäran mail.docx", "A 47977-2024")</f>
        <v/>
      </c>
    </row>
    <row r="671" ht="15" customHeight="1">
      <c r="A671" t="inlineStr">
        <is>
          <t>A 51706-2024</t>
        </is>
      </c>
      <c r="B671" s="1" t="n">
        <v>45604</v>
      </c>
      <c r="C671" s="1" t="n">
        <v>45788</v>
      </c>
      <c r="D671" t="inlineStr">
        <is>
          <t>VÄSTERBOTTENS LÄN</t>
        </is>
      </c>
      <c r="E671" t="inlineStr">
        <is>
          <t>STORUMAN</t>
        </is>
      </c>
      <c r="F671" t="inlineStr">
        <is>
          <t>Allmännings- och besparingsskogar</t>
        </is>
      </c>
      <c r="G671" t="n">
        <v>164.5</v>
      </c>
      <c r="H671" t="n">
        <v>1</v>
      </c>
      <c r="I671" t="n">
        <v>0</v>
      </c>
      <c r="J671" t="n">
        <v>4</v>
      </c>
      <c r="K671" t="n">
        <v>0</v>
      </c>
      <c r="L671" t="n">
        <v>0</v>
      </c>
      <c r="M671" t="n">
        <v>0</v>
      </c>
      <c r="N671" t="n">
        <v>0</v>
      </c>
      <c r="O671" t="n">
        <v>4</v>
      </c>
      <c r="P671" t="n">
        <v>0</v>
      </c>
      <c r="Q671" t="n">
        <v>4</v>
      </c>
      <c r="R671" s="2" t="inlineStr">
        <is>
          <t>Brunpudrad nållav
Garnlav
Granticka
Tretåig hackspett</t>
        </is>
      </c>
      <c r="S671">
        <f>HYPERLINK("https://klasma.github.io/Logging_2421/artfynd/A 51706-2024 artfynd.xlsx", "A 51706-2024")</f>
        <v/>
      </c>
      <c r="T671">
        <f>HYPERLINK("https://klasma.github.io/Logging_2421/kartor/A 51706-2024 karta.png", "A 51706-2024")</f>
        <v/>
      </c>
      <c r="V671">
        <f>HYPERLINK("https://klasma.github.io/Logging_2421/klagomål/A 51706-2024 FSC-klagomål.docx", "A 51706-2024")</f>
        <v/>
      </c>
      <c r="W671">
        <f>HYPERLINK("https://klasma.github.io/Logging_2421/klagomålsmail/A 51706-2024 FSC-klagomål mail.docx", "A 51706-2024")</f>
        <v/>
      </c>
      <c r="X671">
        <f>HYPERLINK("https://klasma.github.io/Logging_2421/tillsyn/A 51706-2024 tillsynsbegäran.docx", "A 51706-2024")</f>
        <v/>
      </c>
      <c r="Y671">
        <f>HYPERLINK("https://klasma.github.io/Logging_2421/tillsynsmail/A 51706-2024 tillsynsbegäran mail.docx", "A 51706-2024")</f>
        <v/>
      </c>
      <c r="Z671">
        <f>HYPERLINK("https://klasma.github.io/Logging_2421/fåglar/A 51706-2024 prioriterade fågelarter.docx", "A 51706-2024")</f>
        <v/>
      </c>
    </row>
    <row r="672" ht="15" customHeight="1">
      <c r="A672" t="inlineStr">
        <is>
          <t>A 52764-2024</t>
        </is>
      </c>
      <c r="B672" s="1" t="n">
        <v>45610</v>
      </c>
      <c r="C672" s="1" t="n">
        <v>45788</v>
      </c>
      <c r="D672" t="inlineStr">
        <is>
          <t>VÄSTERBOTTENS LÄN</t>
        </is>
      </c>
      <c r="E672" t="inlineStr">
        <is>
          <t>UMEÅ</t>
        </is>
      </c>
      <c r="G672" t="n">
        <v>4.8</v>
      </c>
      <c r="H672" t="n">
        <v>0</v>
      </c>
      <c r="I672" t="n">
        <v>2</v>
      </c>
      <c r="J672" t="n">
        <v>2</v>
      </c>
      <c r="K672" t="n">
        <v>0</v>
      </c>
      <c r="L672" t="n">
        <v>0</v>
      </c>
      <c r="M672" t="n">
        <v>0</v>
      </c>
      <c r="N672" t="n">
        <v>0</v>
      </c>
      <c r="O672" t="n">
        <v>2</v>
      </c>
      <c r="P672" t="n">
        <v>0</v>
      </c>
      <c r="Q672" t="n">
        <v>4</v>
      </c>
      <c r="R672" s="2" t="inlineStr">
        <is>
          <t>Granticka
Violettgrå tagellav
Trådticka
Vågbandad barkbock</t>
        </is>
      </c>
      <c r="S672">
        <f>HYPERLINK("https://klasma.github.io/Logging_2480/artfynd/A 52764-2024 artfynd.xlsx", "A 52764-2024")</f>
        <v/>
      </c>
      <c r="T672">
        <f>HYPERLINK("https://klasma.github.io/Logging_2480/kartor/A 52764-2024 karta.png", "A 52764-2024")</f>
        <v/>
      </c>
      <c r="V672">
        <f>HYPERLINK("https://klasma.github.io/Logging_2480/klagomål/A 52764-2024 FSC-klagomål.docx", "A 52764-2024")</f>
        <v/>
      </c>
      <c r="W672">
        <f>HYPERLINK("https://klasma.github.io/Logging_2480/klagomålsmail/A 52764-2024 FSC-klagomål mail.docx", "A 52764-2024")</f>
        <v/>
      </c>
      <c r="X672">
        <f>HYPERLINK("https://klasma.github.io/Logging_2480/tillsyn/A 52764-2024 tillsynsbegäran.docx", "A 52764-2024")</f>
        <v/>
      </c>
      <c r="Y672">
        <f>HYPERLINK("https://klasma.github.io/Logging_2480/tillsynsmail/A 52764-2024 tillsynsbegäran mail.docx", "A 52764-2024")</f>
        <v/>
      </c>
    </row>
    <row r="673" ht="15" customHeight="1">
      <c r="A673" t="inlineStr">
        <is>
          <t>A 52891-2024</t>
        </is>
      </c>
      <c r="B673" s="1" t="n">
        <v>45610</v>
      </c>
      <c r="C673" s="1" t="n">
        <v>45788</v>
      </c>
      <c r="D673" t="inlineStr">
        <is>
          <t>VÄSTERBOTTENS LÄN</t>
        </is>
      </c>
      <c r="E673" t="inlineStr">
        <is>
          <t>LYCKSELE</t>
        </is>
      </c>
      <c r="F673" t="inlineStr">
        <is>
          <t>Holmen skog AB</t>
        </is>
      </c>
      <c r="G673" t="n">
        <v>5</v>
      </c>
      <c r="H673" t="n">
        <v>0</v>
      </c>
      <c r="I673" t="n">
        <v>1</v>
      </c>
      <c r="J673" t="n">
        <v>3</v>
      </c>
      <c r="K673" t="n">
        <v>0</v>
      </c>
      <c r="L673" t="n">
        <v>0</v>
      </c>
      <c r="M673" t="n">
        <v>0</v>
      </c>
      <c r="N673" t="n">
        <v>0</v>
      </c>
      <c r="O673" t="n">
        <v>3</v>
      </c>
      <c r="P673" t="n">
        <v>0</v>
      </c>
      <c r="Q673" t="n">
        <v>4</v>
      </c>
      <c r="R673" s="2" t="inlineStr">
        <is>
          <t>Garnlav
Granticka
Lunglav
Bårdlav</t>
        </is>
      </c>
      <c r="S673">
        <f>HYPERLINK("https://klasma.github.io/Logging_2481/artfynd/A 52891-2024 artfynd.xlsx", "A 52891-2024")</f>
        <v/>
      </c>
      <c r="T673">
        <f>HYPERLINK("https://klasma.github.io/Logging_2481/kartor/A 52891-2024 karta.png", "A 52891-2024")</f>
        <v/>
      </c>
      <c r="V673">
        <f>HYPERLINK("https://klasma.github.io/Logging_2481/klagomål/A 52891-2024 FSC-klagomål.docx", "A 52891-2024")</f>
        <v/>
      </c>
      <c r="W673">
        <f>HYPERLINK("https://klasma.github.io/Logging_2481/klagomålsmail/A 52891-2024 FSC-klagomål mail.docx", "A 52891-2024")</f>
        <v/>
      </c>
      <c r="X673">
        <f>HYPERLINK("https://klasma.github.io/Logging_2481/tillsyn/A 52891-2024 tillsynsbegäran.docx", "A 52891-2024")</f>
        <v/>
      </c>
      <c r="Y673">
        <f>HYPERLINK("https://klasma.github.io/Logging_2481/tillsynsmail/A 52891-2024 tillsynsbegäran mail.docx", "A 52891-2024")</f>
        <v/>
      </c>
    </row>
    <row r="674" ht="15" customHeight="1">
      <c r="A674" t="inlineStr">
        <is>
          <t>A 53094-2024</t>
        </is>
      </c>
      <c r="B674" s="1" t="n">
        <v>45611</v>
      </c>
      <c r="C674" s="1" t="n">
        <v>45788</v>
      </c>
      <c r="D674" t="inlineStr">
        <is>
          <t>VÄSTERBOTTENS LÄN</t>
        </is>
      </c>
      <c r="E674" t="inlineStr">
        <is>
          <t>LYCKSELE</t>
        </is>
      </c>
      <c r="F674" t="inlineStr">
        <is>
          <t>Sveaskog</t>
        </is>
      </c>
      <c r="G674" t="n">
        <v>5.4</v>
      </c>
      <c r="H674" t="n">
        <v>0</v>
      </c>
      <c r="I674" t="n">
        <v>0</v>
      </c>
      <c r="J674" t="n">
        <v>4</v>
      </c>
      <c r="K674" t="n">
        <v>0</v>
      </c>
      <c r="L674" t="n">
        <v>0</v>
      </c>
      <c r="M674" t="n">
        <v>0</v>
      </c>
      <c r="N674" t="n">
        <v>0</v>
      </c>
      <c r="O674" t="n">
        <v>4</v>
      </c>
      <c r="P674" t="n">
        <v>0</v>
      </c>
      <c r="Q674" t="n">
        <v>4</v>
      </c>
      <c r="R674" s="2" t="inlineStr">
        <is>
          <t>Blå taggsvamp
Kolflarnlav
Lunglav
Motaggsvamp</t>
        </is>
      </c>
      <c r="S674">
        <f>HYPERLINK("https://klasma.github.io/Logging_2481/artfynd/A 53094-2024 artfynd.xlsx", "A 53094-2024")</f>
        <v/>
      </c>
      <c r="T674">
        <f>HYPERLINK("https://klasma.github.io/Logging_2481/kartor/A 53094-2024 karta.png", "A 53094-2024")</f>
        <v/>
      </c>
      <c r="V674">
        <f>HYPERLINK("https://klasma.github.io/Logging_2481/klagomål/A 53094-2024 FSC-klagomål.docx", "A 53094-2024")</f>
        <v/>
      </c>
      <c r="W674">
        <f>HYPERLINK("https://klasma.github.io/Logging_2481/klagomålsmail/A 53094-2024 FSC-klagomål mail.docx", "A 53094-2024")</f>
        <v/>
      </c>
      <c r="X674">
        <f>HYPERLINK("https://klasma.github.io/Logging_2481/tillsyn/A 53094-2024 tillsynsbegäran.docx", "A 53094-2024")</f>
        <v/>
      </c>
      <c r="Y674">
        <f>HYPERLINK("https://klasma.github.io/Logging_2481/tillsynsmail/A 53094-2024 tillsynsbegäran mail.docx", "A 53094-2024")</f>
        <v/>
      </c>
    </row>
    <row r="675" ht="15" customHeight="1">
      <c r="A675" t="inlineStr">
        <is>
          <t>A 53423-2024</t>
        </is>
      </c>
      <c r="B675" s="1" t="n">
        <v>45614</v>
      </c>
      <c r="C675" s="1" t="n">
        <v>45788</v>
      </c>
      <c r="D675" t="inlineStr">
        <is>
          <t>VÄSTERBOTTENS LÄN</t>
        </is>
      </c>
      <c r="E675" t="inlineStr">
        <is>
          <t>SKELLEFTEÅ</t>
        </is>
      </c>
      <c r="G675" t="n">
        <v>3.5</v>
      </c>
      <c r="H675" t="n">
        <v>1</v>
      </c>
      <c r="I675" t="n">
        <v>0</v>
      </c>
      <c r="J675" t="n">
        <v>4</v>
      </c>
      <c r="K675" t="n">
        <v>0</v>
      </c>
      <c r="L675" t="n">
        <v>0</v>
      </c>
      <c r="M675" t="n">
        <v>0</v>
      </c>
      <c r="N675" t="n">
        <v>0</v>
      </c>
      <c r="O675" t="n">
        <v>4</v>
      </c>
      <c r="P675" t="n">
        <v>0</v>
      </c>
      <c r="Q675" t="n">
        <v>4</v>
      </c>
      <c r="R675" s="2" t="inlineStr">
        <is>
          <t>Blanksvart spiklav
Blå taggsvamp
Garnlav
Spillkråka</t>
        </is>
      </c>
      <c r="S675">
        <f>HYPERLINK("https://klasma.github.io/Logging_2482/artfynd/A 53423-2024 artfynd.xlsx", "A 53423-2024")</f>
        <v/>
      </c>
      <c r="T675">
        <f>HYPERLINK("https://klasma.github.io/Logging_2482/kartor/A 53423-2024 karta.png", "A 53423-2024")</f>
        <v/>
      </c>
      <c r="V675">
        <f>HYPERLINK("https://klasma.github.io/Logging_2482/klagomål/A 53423-2024 FSC-klagomål.docx", "A 53423-2024")</f>
        <v/>
      </c>
      <c r="W675">
        <f>HYPERLINK("https://klasma.github.io/Logging_2482/klagomålsmail/A 53423-2024 FSC-klagomål mail.docx", "A 53423-2024")</f>
        <v/>
      </c>
      <c r="X675">
        <f>HYPERLINK("https://klasma.github.io/Logging_2482/tillsyn/A 53423-2024 tillsynsbegäran.docx", "A 53423-2024")</f>
        <v/>
      </c>
      <c r="Y675">
        <f>HYPERLINK("https://klasma.github.io/Logging_2482/tillsynsmail/A 53423-2024 tillsynsbegäran mail.docx", "A 53423-2024")</f>
        <v/>
      </c>
      <c r="Z675">
        <f>HYPERLINK("https://klasma.github.io/Logging_2482/fåglar/A 53423-2024 prioriterade fågelarter.docx", "A 53423-2024")</f>
        <v/>
      </c>
    </row>
    <row r="676" ht="15" customHeight="1">
      <c r="A676" t="inlineStr">
        <is>
          <t>A 54905-2024</t>
        </is>
      </c>
      <c r="B676" s="1" t="n">
        <v>45618</v>
      </c>
      <c r="C676" s="1" t="n">
        <v>45788</v>
      </c>
      <c r="D676" t="inlineStr">
        <is>
          <t>VÄSTERBOTTENS LÄN</t>
        </is>
      </c>
      <c r="E676" t="inlineStr">
        <is>
          <t>LYCKSELE</t>
        </is>
      </c>
      <c r="F676" t="inlineStr">
        <is>
          <t>Sveaskog</t>
        </is>
      </c>
      <c r="G676" t="n">
        <v>2.2</v>
      </c>
      <c r="H676" t="n">
        <v>0</v>
      </c>
      <c r="I676" t="n">
        <v>1</v>
      </c>
      <c r="J676" t="n">
        <v>2</v>
      </c>
      <c r="K676" t="n">
        <v>1</v>
      </c>
      <c r="L676" t="n">
        <v>0</v>
      </c>
      <c r="M676" t="n">
        <v>0</v>
      </c>
      <c r="N676" t="n">
        <v>0</v>
      </c>
      <c r="O676" t="n">
        <v>3</v>
      </c>
      <c r="P676" t="n">
        <v>1</v>
      </c>
      <c r="Q676" t="n">
        <v>4</v>
      </c>
      <c r="R676" s="2" t="inlineStr">
        <is>
          <t>Fläckporing
Garnlav
Kolflarnlav
Dropptaggsvamp</t>
        </is>
      </c>
      <c r="S676">
        <f>HYPERLINK("https://klasma.github.io/Logging_2481/artfynd/A 54905-2024 artfynd.xlsx", "A 54905-2024")</f>
        <v/>
      </c>
      <c r="T676">
        <f>HYPERLINK("https://klasma.github.io/Logging_2481/kartor/A 54905-2024 karta.png", "A 54905-2024")</f>
        <v/>
      </c>
      <c r="V676">
        <f>HYPERLINK("https://klasma.github.io/Logging_2481/klagomål/A 54905-2024 FSC-klagomål.docx", "A 54905-2024")</f>
        <v/>
      </c>
      <c r="W676">
        <f>HYPERLINK("https://klasma.github.io/Logging_2481/klagomålsmail/A 54905-2024 FSC-klagomål mail.docx", "A 54905-2024")</f>
        <v/>
      </c>
      <c r="X676">
        <f>HYPERLINK("https://klasma.github.io/Logging_2481/tillsyn/A 54905-2024 tillsynsbegäran.docx", "A 54905-2024")</f>
        <v/>
      </c>
      <c r="Y676">
        <f>HYPERLINK("https://klasma.github.io/Logging_2481/tillsynsmail/A 54905-2024 tillsynsbegäran mail.docx", "A 54905-2024")</f>
        <v/>
      </c>
    </row>
    <row r="677" ht="15" customHeight="1">
      <c r="A677" t="inlineStr">
        <is>
          <t>A 55242-2024</t>
        </is>
      </c>
      <c r="B677" s="1" t="n">
        <v>45620</v>
      </c>
      <c r="C677" s="1" t="n">
        <v>45788</v>
      </c>
      <c r="D677" t="inlineStr">
        <is>
          <t>VÄSTERBOTTENS LÄN</t>
        </is>
      </c>
      <c r="E677" t="inlineStr">
        <is>
          <t>SKELLEFTEÅ</t>
        </is>
      </c>
      <c r="G677" t="n">
        <v>3.4</v>
      </c>
      <c r="H677" t="n">
        <v>0</v>
      </c>
      <c r="I677" t="n">
        <v>0</v>
      </c>
      <c r="J677" t="n">
        <v>3</v>
      </c>
      <c r="K677" t="n">
        <v>1</v>
      </c>
      <c r="L677" t="n">
        <v>0</v>
      </c>
      <c r="M677" t="n">
        <v>0</v>
      </c>
      <c r="N677" t="n">
        <v>0</v>
      </c>
      <c r="O677" t="n">
        <v>4</v>
      </c>
      <c r="P677" t="n">
        <v>1</v>
      </c>
      <c r="Q677" t="n">
        <v>4</v>
      </c>
      <c r="R677" s="2" t="inlineStr">
        <is>
          <t>Ostticka
Garnlav
Granticka
Ullticka</t>
        </is>
      </c>
      <c r="S677">
        <f>HYPERLINK("https://klasma.github.io/Logging_2482/artfynd/A 55242-2024 artfynd.xlsx", "A 55242-2024")</f>
        <v/>
      </c>
      <c r="T677">
        <f>HYPERLINK("https://klasma.github.io/Logging_2482/kartor/A 55242-2024 karta.png", "A 55242-2024")</f>
        <v/>
      </c>
      <c r="V677">
        <f>HYPERLINK("https://klasma.github.io/Logging_2482/klagomål/A 55242-2024 FSC-klagomål.docx", "A 55242-2024")</f>
        <v/>
      </c>
      <c r="W677">
        <f>HYPERLINK("https://klasma.github.io/Logging_2482/klagomålsmail/A 55242-2024 FSC-klagomål mail.docx", "A 55242-2024")</f>
        <v/>
      </c>
      <c r="X677">
        <f>HYPERLINK("https://klasma.github.io/Logging_2482/tillsyn/A 55242-2024 tillsynsbegäran.docx", "A 55242-2024")</f>
        <v/>
      </c>
      <c r="Y677">
        <f>HYPERLINK("https://klasma.github.io/Logging_2482/tillsynsmail/A 55242-2024 tillsynsbegäran mail.docx", "A 55242-2024")</f>
        <v/>
      </c>
    </row>
    <row r="678" ht="15" customHeight="1">
      <c r="A678" t="inlineStr">
        <is>
          <t>A 55235-2024</t>
        </is>
      </c>
      <c r="B678" s="1" t="n">
        <v>45620</v>
      </c>
      <c r="C678" s="1" t="n">
        <v>45788</v>
      </c>
      <c r="D678" t="inlineStr">
        <is>
          <t>VÄSTERBOTTENS LÄN</t>
        </is>
      </c>
      <c r="E678" t="inlineStr">
        <is>
          <t>SKELLEFTEÅ</t>
        </is>
      </c>
      <c r="G678" t="n">
        <v>0.9</v>
      </c>
      <c r="H678" t="n">
        <v>1</v>
      </c>
      <c r="I678" t="n">
        <v>1</v>
      </c>
      <c r="J678" t="n">
        <v>2</v>
      </c>
      <c r="K678" t="n">
        <v>1</v>
      </c>
      <c r="L678" t="n">
        <v>0</v>
      </c>
      <c r="M678" t="n">
        <v>0</v>
      </c>
      <c r="N678" t="n">
        <v>0</v>
      </c>
      <c r="O678" t="n">
        <v>3</v>
      </c>
      <c r="P678" t="n">
        <v>1</v>
      </c>
      <c r="Q678" t="n">
        <v>4</v>
      </c>
      <c r="R678" s="2" t="inlineStr">
        <is>
          <t>Doftticka
Barkporlav
Lunglav
Bårdlav</t>
        </is>
      </c>
      <c r="S678">
        <f>HYPERLINK("https://klasma.github.io/Logging_2482/artfynd/A 55235-2024 artfynd.xlsx", "A 55235-2024")</f>
        <v/>
      </c>
      <c r="T678">
        <f>HYPERLINK("https://klasma.github.io/Logging_2482/kartor/A 55235-2024 karta.png", "A 55235-2024")</f>
        <v/>
      </c>
      <c r="V678">
        <f>HYPERLINK("https://klasma.github.io/Logging_2482/klagomål/A 55235-2024 FSC-klagomål.docx", "A 55235-2024")</f>
        <v/>
      </c>
      <c r="W678">
        <f>HYPERLINK("https://klasma.github.io/Logging_2482/klagomålsmail/A 55235-2024 FSC-klagomål mail.docx", "A 55235-2024")</f>
        <v/>
      </c>
      <c r="X678">
        <f>HYPERLINK("https://klasma.github.io/Logging_2482/tillsyn/A 55235-2024 tillsynsbegäran.docx", "A 55235-2024")</f>
        <v/>
      </c>
      <c r="Y678">
        <f>HYPERLINK("https://klasma.github.io/Logging_2482/tillsynsmail/A 55235-2024 tillsynsbegäran mail.docx", "A 55235-2024")</f>
        <v/>
      </c>
    </row>
    <row r="679" ht="15" customHeight="1">
      <c r="A679" t="inlineStr">
        <is>
          <t>A 55825-2024</t>
        </is>
      </c>
      <c r="B679" s="1" t="n">
        <v>45623</v>
      </c>
      <c r="C679" s="1" t="n">
        <v>45788</v>
      </c>
      <c r="D679" t="inlineStr">
        <is>
          <t>VÄSTERBOTTENS LÄN</t>
        </is>
      </c>
      <c r="E679" t="inlineStr">
        <is>
          <t>LYCKSELE</t>
        </is>
      </c>
      <c r="G679" t="n">
        <v>7.1</v>
      </c>
      <c r="H679" t="n">
        <v>3</v>
      </c>
      <c r="I679" t="n">
        <v>0</v>
      </c>
      <c r="J679" t="n">
        <v>3</v>
      </c>
      <c r="K679" t="n">
        <v>0</v>
      </c>
      <c r="L679" t="n">
        <v>0</v>
      </c>
      <c r="M679" t="n">
        <v>0</v>
      </c>
      <c r="N679" t="n">
        <v>0</v>
      </c>
      <c r="O679" t="n">
        <v>3</v>
      </c>
      <c r="P679" t="n">
        <v>0</v>
      </c>
      <c r="Q679" t="n">
        <v>4</v>
      </c>
      <c r="R679" s="2" t="inlineStr">
        <is>
          <t>Kolflarnlav
Spillkråka
Tretåig hackspett
Revlummer</t>
        </is>
      </c>
      <c r="S679">
        <f>HYPERLINK("https://klasma.github.io/Logging_2481/artfynd/A 55825-2024 artfynd.xlsx", "A 55825-2024")</f>
        <v/>
      </c>
      <c r="T679">
        <f>HYPERLINK("https://klasma.github.io/Logging_2481/kartor/A 55825-2024 karta.png", "A 55825-2024")</f>
        <v/>
      </c>
      <c r="V679">
        <f>HYPERLINK("https://klasma.github.io/Logging_2481/klagomål/A 55825-2024 FSC-klagomål.docx", "A 55825-2024")</f>
        <v/>
      </c>
      <c r="W679">
        <f>HYPERLINK("https://klasma.github.io/Logging_2481/klagomålsmail/A 55825-2024 FSC-klagomål mail.docx", "A 55825-2024")</f>
        <v/>
      </c>
      <c r="X679">
        <f>HYPERLINK("https://klasma.github.io/Logging_2481/tillsyn/A 55825-2024 tillsynsbegäran.docx", "A 55825-2024")</f>
        <v/>
      </c>
      <c r="Y679">
        <f>HYPERLINK("https://klasma.github.io/Logging_2481/tillsynsmail/A 55825-2024 tillsynsbegäran mail.docx", "A 55825-2024")</f>
        <v/>
      </c>
      <c r="Z679">
        <f>HYPERLINK("https://klasma.github.io/Logging_2481/fåglar/A 55825-2024 prioriterade fågelarter.docx", "A 55825-2024")</f>
        <v/>
      </c>
    </row>
    <row r="680" ht="15" customHeight="1">
      <c r="A680" t="inlineStr">
        <is>
          <t>A 56462-2024</t>
        </is>
      </c>
      <c r="B680" s="1" t="n">
        <v>45625</v>
      </c>
      <c r="C680" s="1" t="n">
        <v>45788</v>
      </c>
      <c r="D680" t="inlineStr">
        <is>
          <t>VÄSTERBOTTENS LÄN</t>
        </is>
      </c>
      <c r="E680" t="inlineStr">
        <is>
          <t>SKELLEFTEÅ</t>
        </is>
      </c>
      <c r="F680" t="inlineStr">
        <is>
          <t>Holmen skog AB</t>
        </is>
      </c>
      <c r="G680" t="n">
        <v>44.8</v>
      </c>
      <c r="H680" t="n">
        <v>0</v>
      </c>
      <c r="I680" t="n">
        <v>0</v>
      </c>
      <c r="J680" t="n">
        <v>3</v>
      </c>
      <c r="K680" t="n">
        <v>0</v>
      </c>
      <c r="L680" t="n">
        <v>1</v>
      </c>
      <c r="M680" t="n">
        <v>0</v>
      </c>
      <c r="N680" t="n">
        <v>0</v>
      </c>
      <c r="O680" t="n">
        <v>4</v>
      </c>
      <c r="P680" t="n">
        <v>1</v>
      </c>
      <c r="Q680" t="n">
        <v>4</v>
      </c>
      <c r="R680" s="2" t="inlineStr">
        <is>
          <t>Större svartbagge
Korthornad ögonbagge
Rödhalsad vedsvampbagge
Svart ögonknäppare</t>
        </is>
      </c>
      <c r="S680">
        <f>HYPERLINK("https://klasma.github.io/Logging_2482/artfynd/A 56462-2024 artfynd.xlsx", "A 56462-2024")</f>
        <v/>
      </c>
      <c r="T680">
        <f>HYPERLINK("https://klasma.github.io/Logging_2482/kartor/A 56462-2024 karta.png", "A 56462-2024")</f>
        <v/>
      </c>
      <c r="V680">
        <f>HYPERLINK("https://klasma.github.io/Logging_2482/klagomål/A 56462-2024 FSC-klagomål.docx", "A 56462-2024")</f>
        <v/>
      </c>
      <c r="W680">
        <f>HYPERLINK("https://klasma.github.io/Logging_2482/klagomålsmail/A 56462-2024 FSC-klagomål mail.docx", "A 56462-2024")</f>
        <v/>
      </c>
      <c r="X680">
        <f>HYPERLINK("https://klasma.github.io/Logging_2482/tillsyn/A 56462-2024 tillsynsbegäran.docx", "A 56462-2024")</f>
        <v/>
      </c>
      <c r="Y680">
        <f>HYPERLINK("https://klasma.github.io/Logging_2482/tillsynsmail/A 56462-2024 tillsynsbegäran mail.docx", "A 56462-2024")</f>
        <v/>
      </c>
    </row>
    <row r="681" ht="15" customHeight="1">
      <c r="A681" t="inlineStr">
        <is>
          <t>A 60107-2024</t>
        </is>
      </c>
      <c r="B681" s="1" t="n">
        <v>45642</v>
      </c>
      <c r="C681" s="1" t="n">
        <v>45788</v>
      </c>
      <c r="D681" t="inlineStr">
        <is>
          <t>VÄSTERBOTTENS LÄN</t>
        </is>
      </c>
      <c r="E681" t="inlineStr">
        <is>
          <t>SKELLEFTEÅ</t>
        </is>
      </c>
      <c r="G681" t="n">
        <v>11.7</v>
      </c>
      <c r="H681" t="n">
        <v>2</v>
      </c>
      <c r="I681" t="n">
        <v>0</v>
      </c>
      <c r="J681" t="n">
        <v>4</v>
      </c>
      <c r="K681" t="n">
        <v>0</v>
      </c>
      <c r="L681" t="n">
        <v>0</v>
      </c>
      <c r="M681" t="n">
        <v>0</v>
      </c>
      <c r="N681" t="n">
        <v>0</v>
      </c>
      <c r="O681" t="n">
        <v>4</v>
      </c>
      <c r="P681" t="n">
        <v>0</v>
      </c>
      <c r="Q681" t="n">
        <v>4</v>
      </c>
      <c r="R681" s="2" t="inlineStr">
        <is>
          <t>Granticka
Spillkråka
Stjärntagging
Tretåig hackspett</t>
        </is>
      </c>
      <c r="S681">
        <f>HYPERLINK("https://klasma.github.io/Logging_2482/artfynd/A 60107-2024 artfynd.xlsx", "A 60107-2024")</f>
        <v/>
      </c>
      <c r="T681">
        <f>HYPERLINK("https://klasma.github.io/Logging_2482/kartor/A 60107-2024 karta.png", "A 60107-2024")</f>
        <v/>
      </c>
      <c r="V681">
        <f>HYPERLINK("https://klasma.github.io/Logging_2482/klagomål/A 60107-2024 FSC-klagomål.docx", "A 60107-2024")</f>
        <v/>
      </c>
      <c r="W681">
        <f>HYPERLINK("https://klasma.github.io/Logging_2482/klagomålsmail/A 60107-2024 FSC-klagomål mail.docx", "A 60107-2024")</f>
        <v/>
      </c>
      <c r="X681">
        <f>HYPERLINK("https://klasma.github.io/Logging_2482/tillsyn/A 60107-2024 tillsynsbegäran.docx", "A 60107-2024")</f>
        <v/>
      </c>
      <c r="Y681">
        <f>HYPERLINK("https://klasma.github.io/Logging_2482/tillsynsmail/A 60107-2024 tillsynsbegäran mail.docx", "A 60107-2024")</f>
        <v/>
      </c>
      <c r="Z681">
        <f>HYPERLINK("https://klasma.github.io/Logging_2482/fåglar/A 60107-2024 prioriterade fågelarter.docx", "A 60107-2024")</f>
        <v/>
      </c>
    </row>
    <row r="682" ht="15" customHeight="1">
      <c r="A682" t="inlineStr">
        <is>
          <t>A 924-2025</t>
        </is>
      </c>
      <c r="B682" s="1" t="n">
        <v>45665</v>
      </c>
      <c r="C682" s="1" t="n">
        <v>45788</v>
      </c>
      <c r="D682" t="inlineStr">
        <is>
          <t>VÄSTERBOTTENS LÄN</t>
        </is>
      </c>
      <c r="E682" t="inlineStr">
        <is>
          <t>SKELLEFTEÅ</t>
        </is>
      </c>
      <c r="G682" t="n">
        <v>21.6</v>
      </c>
      <c r="H682" t="n">
        <v>1</v>
      </c>
      <c r="I682" t="n">
        <v>0</v>
      </c>
      <c r="J682" t="n">
        <v>3</v>
      </c>
      <c r="K682" t="n">
        <v>1</v>
      </c>
      <c r="L682" t="n">
        <v>0</v>
      </c>
      <c r="M682" t="n">
        <v>0</v>
      </c>
      <c r="N682" t="n">
        <v>0</v>
      </c>
      <c r="O682" t="n">
        <v>4</v>
      </c>
      <c r="P682" t="n">
        <v>1</v>
      </c>
      <c r="Q682" t="n">
        <v>4</v>
      </c>
      <c r="R682" s="2" t="inlineStr">
        <is>
          <t>Knärot
Gammelgransskål
Rosenticka
Ullticka</t>
        </is>
      </c>
      <c r="S682">
        <f>HYPERLINK("https://klasma.github.io/Logging_2482/artfynd/A 924-2025 artfynd.xlsx", "A 924-2025")</f>
        <v/>
      </c>
      <c r="T682">
        <f>HYPERLINK("https://klasma.github.io/Logging_2482/kartor/A 924-2025 karta.png", "A 924-2025")</f>
        <v/>
      </c>
      <c r="U682">
        <f>HYPERLINK("https://klasma.github.io/Logging_2482/knärot/A 924-2025 karta knärot.png", "A 924-2025")</f>
        <v/>
      </c>
      <c r="V682">
        <f>HYPERLINK("https://klasma.github.io/Logging_2482/klagomål/A 924-2025 FSC-klagomål.docx", "A 924-2025")</f>
        <v/>
      </c>
      <c r="W682">
        <f>HYPERLINK("https://klasma.github.io/Logging_2482/klagomålsmail/A 924-2025 FSC-klagomål mail.docx", "A 924-2025")</f>
        <v/>
      </c>
      <c r="X682">
        <f>HYPERLINK("https://klasma.github.io/Logging_2482/tillsyn/A 924-2025 tillsynsbegäran.docx", "A 924-2025")</f>
        <v/>
      </c>
      <c r="Y682">
        <f>HYPERLINK("https://klasma.github.io/Logging_2482/tillsynsmail/A 924-2025 tillsynsbegäran mail.docx", "A 924-2025")</f>
        <v/>
      </c>
    </row>
    <row r="683" ht="15" customHeight="1">
      <c r="A683" t="inlineStr">
        <is>
          <t>A 2643-2025</t>
        </is>
      </c>
      <c r="B683" s="1" t="n">
        <v>45676</v>
      </c>
      <c r="C683" s="1" t="n">
        <v>45788</v>
      </c>
      <c r="D683" t="inlineStr">
        <is>
          <t>VÄSTERBOTTENS LÄN</t>
        </is>
      </c>
      <c r="E683" t="inlineStr">
        <is>
          <t>UMEÅ</t>
        </is>
      </c>
      <c r="F683" t="inlineStr">
        <is>
          <t>Övriga Aktiebolag</t>
        </is>
      </c>
      <c r="G683" t="n">
        <v>12.6</v>
      </c>
      <c r="H683" t="n">
        <v>0</v>
      </c>
      <c r="I683" t="n">
        <v>1</v>
      </c>
      <c r="J683" t="n">
        <v>3</v>
      </c>
      <c r="K683" t="n">
        <v>0</v>
      </c>
      <c r="L683" t="n">
        <v>0</v>
      </c>
      <c r="M683" t="n">
        <v>0</v>
      </c>
      <c r="N683" t="n">
        <v>0</v>
      </c>
      <c r="O683" t="n">
        <v>3</v>
      </c>
      <c r="P683" t="n">
        <v>0</v>
      </c>
      <c r="Q683" t="n">
        <v>4</v>
      </c>
      <c r="R683" s="2" t="inlineStr">
        <is>
          <t>Garnlav
Kolflarnlav
Ullticka
Dropptaggsvamp</t>
        </is>
      </c>
      <c r="S683">
        <f>HYPERLINK("https://klasma.github.io/Logging_2480/artfynd/A 2643-2025 artfynd.xlsx", "A 2643-2025")</f>
        <v/>
      </c>
      <c r="T683">
        <f>HYPERLINK("https://klasma.github.io/Logging_2480/kartor/A 2643-2025 karta.png", "A 2643-2025")</f>
        <v/>
      </c>
      <c r="V683">
        <f>HYPERLINK("https://klasma.github.io/Logging_2480/klagomål/A 2643-2025 FSC-klagomål.docx", "A 2643-2025")</f>
        <v/>
      </c>
      <c r="W683">
        <f>HYPERLINK("https://klasma.github.io/Logging_2480/klagomålsmail/A 2643-2025 FSC-klagomål mail.docx", "A 2643-2025")</f>
        <v/>
      </c>
      <c r="X683">
        <f>HYPERLINK("https://klasma.github.io/Logging_2480/tillsyn/A 2643-2025 tillsynsbegäran.docx", "A 2643-2025")</f>
        <v/>
      </c>
      <c r="Y683">
        <f>HYPERLINK("https://klasma.github.io/Logging_2480/tillsynsmail/A 2643-2025 tillsynsbegäran mail.docx", "A 2643-2025")</f>
        <v/>
      </c>
    </row>
    <row r="684" ht="15" customHeight="1">
      <c r="A684" t="inlineStr">
        <is>
          <t>A 8248-2025</t>
        </is>
      </c>
      <c r="B684" s="1" t="n">
        <v>45708</v>
      </c>
      <c r="C684" s="1" t="n">
        <v>45788</v>
      </c>
      <c r="D684" t="inlineStr">
        <is>
          <t>VÄSTERBOTTENS LÄN</t>
        </is>
      </c>
      <c r="E684" t="inlineStr">
        <is>
          <t>SKELLEFTEÅ</t>
        </is>
      </c>
      <c r="G684" t="n">
        <v>8.699999999999999</v>
      </c>
      <c r="H684" t="n">
        <v>1</v>
      </c>
      <c r="I684" t="n">
        <v>1</v>
      </c>
      <c r="J684" t="n">
        <v>3</v>
      </c>
      <c r="K684" t="n">
        <v>0</v>
      </c>
      <c r="L684" t="n">
        <v>0</v>
      </c>
      <c r="M684" t="n">
        <v>0</v>
      </c>
      <c r="N684" t="n">
        <v>0</v>
      </c>
      <c r="O684" t="n">
        <v>3</v>
      </c>
      <c r="P684" t="n">
        <v>0</v>
      </c>
      <c r="Q684" t="n">
        <v>4</v>
      </c>
      <c r="R684" s="2" t="inlineStr">
        <is>
          <t>Granticka
Spillkråka
Tallticka
Trådticka</t>
        </is>
      </c>
      <c r="S684">
        <f>HYPERLINK("https://klasma.github.io/Logging_2482/artfynd/A 8248-2025 artfynd.xlsx", "A 8248-2025")</f>
        <v/>
      </c>
      <c r="T684">
        <f>HYPERLINK("https://klasma.github.io/Logging_2482/kartor/A 8248-2025 karta.png", "A 8248-2025")</f>
        <v/>
      </c>
      <c r="V684">
        <f>HYPERLINK("https://klasma.github.io/Logging_2482/klagomål/A 8248-2025 FSC-klagomål.docx", "A 8248-2025")</f>
        <v/>
      </c>
      <c r="W684">
        <f>HYPERLINK("https://klasma.github.io/Logging_2482/klagomålsmail/A 8248-2025 FSC-klagomål mail.docx", "A 8248-2025")</f>
        <v/>
      </c>
      <c r="X684">
        <f>HYPERLINK("https://klasma.github.io/Logging_2482/tillsyn/A 8248-2025 tillsynsbegäran.docx", "A 8248-2025")</f>
        <v/>
      </c>
      <c r="Y684">
        <f>HYPERLINK("https://klasma.github.io/Logging_2482/tillsynsmail/A 8248-2025 tillsynsbegäran mail.docx", "A 8248-2025")</f>
        <v/>
      </c>
      <c r="Z684">
        <f>HYPERLINK("https://klasma.github.io/Logging_2482/fåglar/A 8248-2025 prioriterade fågelarter.docx", "A 8248-2025")</f>
        <v/>
      </c>
    </row>
    <row r="685" ht="15" customHeight="1">
      <c r="A685" t="inlineStr">
        <is>
          <t>A 9268-2025</t>
        </is>
      </c>
      <c r="B685" s="1" t="n">
        <v>45714</v>
      </c>
      <c r="C685" s="1" t="n">
        <v>45788</v>
      </c>
      <c r="D685" t="inlineStr">
        <is>
          <t>VÄSTERBOTTENS LÄN</t>
        </is>
      </c>
      <c r="E685" t="inlineStr">
        <is>
          <t>VILHELMINA</t>
        </is>
      </c>
      <c r="G685" t="n">
        <v>9.199999999999999</v>
      </c>
      <c r="H685" t="n">
        <v>0</v>
      </c>
      <c r="I685" t="n">
        <v>0</v>
      </c>
      <c r="J685" t="n">
        <v>4</v>
      </c>
      <c r="K685" t="n">
        <v>0</v>
      </c>
      <c r="L685" t="n">
        <v>0</v>
      </c>
      <c r="M685" t="n">
        <v>0</v>
      </c>
      <c r="N685" t="n">
        <v>0</v>
      </c>
      <c r="O685" t="n">
        <v>4</v>
      </c>
      <c r="P685" t="n">
        <v>0</v>
      </c>
      <c r="Q685" t="n">
        <v>4</v>
      </c>
      <c r="R685" s="2" t="inlineStr">
        <is>
          <t>Gammelgransskål
Granticka
Lunglav
Skrovellav</t>
        </is>
      </c>
      <c r="S685">
        <f>HYPERLINK("https://klasma.github.io/Logging_2462/artfynd/A 9268-2025 artfynd.xlsx", "A 9268-2025")</f>
        <v/>
      </c>
      <c r="T685">
        <f>HYPERLINK("https://klasma.github.io/Logging_2462/kartor/A 9268-2025 karta.png", "A 9268-2025")</f>
        <v/>
      </c>
      <c r="V685">
        <f>HYPERLINK("https://klasma.github.io/Logging_2462/klagomål/A 9268-2025 FSC-klagomål.docx", "A 9268-2025")</f>
        <v/>
      </c>
      <c r="W685">
        <f>HYPERLINK("https://klasma.github.io/Logging_2462/klagomålsmail/A 9268-2025 FSC-klagomål mail.docx", "A 9268-2025")</f>
        <v/>
      </c>
      <c r="X685">
        <f>HYPERLINK("https://klasma.github.io/Logging_2462/tillsyn/A 9268-2025 tillsynsbegäran.docx", "A 9268-2025")</f>
        <v/>
      </c>
      <c r="Y685">
        <f>HYPERLINK("https://klasma.github.io/Logging_2462/tillsynsmail/A 9268-2025 tillsynsbegäran mail.docx", "A 9268-2025")</f>
        <v/>
      </c>
    </row>
    <row r="686" ht="15" customHeight="1">
      <c r="A686" t="inlineStr">
        <is>
          <t>A 17099-2025</t>
        </is>
      </c>
      <c r="B686" s="1" t="n">
        <v>45755</v>
      </c>
      <c r="C686" s="1" t="n">
        <v>45788</v>
      </c>
      <c r="D686" t="inlineStr">
        <is>
          <t>VÄSTERBOTTENS LÄN</t>
        </is>
      </c>
      <c r="E686" t="inlineStr">
        <is>
          <t>VINDELN</t>
        </is>
      </c>
      <c r="F686" t="inlineStr">
        <is>
          <t>SCA</t>
        </is>
      </c>
      <c r="G686" t="n">
        <v>32.8</v>
      </c>
      <c r="H686" t="n">
        <v>0</v>
      </c>
      <c r="I686" t="n">
        <v>1</v>
      </c>
      <c r="J686" t="n">
        <v>3</v>
      </c>
      <c r="K686" t="n">
        <v>0</v>
      </c>
      <c r="L686" t="n">
        <v>0</v>
      </c>
      <c r="M686" t="n">
        <v>0</v>
      </c>
      <c r="N686" t="n">
        <v>0</v>
      </c>
      <c r="O686" t="n">
        <v>3</v>
      </c>
      <c r="P686" t="n">
        <v>0</v>
      </c>
      <c r="Q686" t="n">
        <v>4</v>
      </c>
      <c r="R686" s="2" t="inlineStr">
        <is>
          <t>Garnlav
Granticka
Lunglav
Stuplav</t>
        </is>
      </c>
      <c r="S686">
        <f>HYPERLINK("https://klasma.github.io/Logging_242404/artfynd/A 17099-2025 artfynd.xlsx", "A 17099-2025")</f>
        <v/>
      </c>
      <c r="T686">
        <f>HYPERLINK("https://klasma.github.io/Logging_242404/kartor/A 17099-2025 karta.png", "A 17099-2025")</f>
        <v/>
      </c>
      <c r="V686">
        <f>HYPERLINK("https://klasma.github.io/Logging_242404/klagomål/A 17099-2025 FSC-klagomål.docx", "A 17099-2025")</f>
        <v/>
      </c>
      <c r="W686">
        <f>HYPERLINK("https://klasma.github.io/Logging_242404/klagomålsmail/A 17099-2025 FSC-klagomål mail.docx", "A 17099-2025")</f>
        <v/>
      </c>
      <c r="X686">
        <f>HYPERLINK("https://klasma.github.io/Logging_242404/tillsyn/A 17099-2025 tillsynsbegäran.docx", "A 17099-2025")</f>
        <v/>
      </c>
      <c r="Y686">
        <f>HYPERLINK("https://klasma.github.io/Logging_242404/tillsynsmail/A 17099-2025 tillsynsbegäran mail.docx", "A 17099-2025")</f>
        <v/>
      </c>
    </row>
    <row r="687" ht="15" customHeight="1">
      <c r="A687" t="inlineStr">
        <is>
          <t>A 18981-2019</t>
        </is>
      </c>
      <c r="B687" s="1" t="n">
        <v>43563</v>
      </c>
      <c r="C687" s="1" t="n">
        <v>45788</v>
      </c>
      <c r="D687" t="inlineStr">
        <is>
          <t>VÄSTERBOTTENS LÄN</t>
        </is>
      </c>
      <c r="E687" t="inlineStr">
        <is>
          <t>VINDELN</t>
        </is>
      </c>
      <c r="G687" t="n">
        <v>5</v>
      </c>
      <c r="H687" t="n">
        <v>0</v>
      </c>
      <c r="I687" t="n">
        <v>0</v>
      </c>
      <c r="J687" t="n">
        <v>3</v>
      </c>
      <c r="K687" t="n">
        <v>0</v>
      </c>
      <c r="L687" t="n">
        <v>0</v>
      </c>
      <c r="M687" t="n">
        <v>0</v>
      </c>
      <c r="N687" t="n">
        <v>0</v>
      </c>
      <c r="O687" t="n">
        <v>3</v>
      </c>
      <c r="P687" t="n">
        <v>0</v>
      </c>
      <c r="Q687" t="n">
        <v>3</v>
      </c>
      <c r="R687" s="2" t="inlineStr">
        <is>
          <t>Granticka
Lunglav
Ullticka</t>
        </is>
      </c>
      <c r="S687">
        <f>HYPERLINK("https://klasma.github.io/Logging_2404/artfynd/A 18981-2019 artfynd.xlsx", "A 18981-2019")</f>
        <v/>
      </c>
      <c r="T687">
        <f>HYPERLINK("https://klasma.github.io/Logging_2404/kartor/A 18981-2019 karta.png", "A 18981-2019")</f>
        <v/>
      </c>
      <c r="V687">
        <f>HYPERLINK("https://klasma.github.io/Logging_2404/klagomål/A 18981-2019 FSC-klagomål.docx", "A 18981-2019")</f>
        <v/>
      </c>
      <c r="W687">
        <f>HYPERLINK("https://klasma.github.io/Logging_2404/klagomålsmail/A 18981-2019 FSC-klagomål mail.docx", "A 18981-2019")</f>
        <v/>
      </c>
      <c r="X687">
        <f>HYPERLINK("https://klasma.github.io/Logging_2404/tillsyn/A 18981-2019 tillsynsbegäran.docx", "A 18981-2019")</f>
        <v/>
      </c>
      <c r="Y687">
        <f>HYPERLINK("https://klasma.github.io/Logging_2404/tillsynsmail/A 18981-2019 tillsynsbegäran mail.docx", "A 18981-2019")</f>
        <v/>
      </c>
    </row>
    <row r="688" ht="15" customHeight="1">
      <c r="A688" t="inlineStr">
        <is>
          <t>A 34201-2019</t>
        </is>
      </c>
      <c r="B688" s="1" t="n">
        <v>43655</v>
      </c>
      <c r="C688" s="1" t="n">
        <v>45788</v>
      </c>
      <c r="D688" t="inlineStr">
        <is>
          <t>VÄSTERBOTTENS LÄN</t>
        </is>
      </c>
      <c r="E688" t="inlineStr">
        <is>
          <t>STORUMAN</t>
        </is>
      </c>
      <c r="G688" t="n">
        <v>32</v>
      </c>
      <c r="H688" t="n">
        <v>0</v>
      </c>
      <c r="I688" t="n">
        <v>0</v>
      </c>
      <c r="J688" t="n">
        <v>2</v>
      </c>
      <c r="K688" t="n">
        <v>1</v>
      </c>
      <c r="L688" t="n">
        <v>0</v>
      </c>
      <c r="M688" t="n">
        <v>0</v>
      </c>
      <c r="N688" t="n">
        <v>0</v>
      </c>
      <c r="O688" t="n">
        <v>3</v>
      </c>
      <c r="P688" t="n">
        <v>1</v>
      </c>
      <c r="Q688" t="n">
        <v>3</v>
      </c>
      <c r="R688" s="2" t="inlineStr">
        <is>
          <t>Smalfotad taggsvamp
Nordtagging
Rosenticka</t>
        </is>
      </c>
      <c r="S688">
        <f>HYPERLINK("https://klasma.github.io/Logging_2421/artfynd/A 34201-2019 artfynd.xlsx", "A 34201-2019")</f>
        <v/>
      </c>
      <c r="T688">
        <f>HYPERLINK("https://klasma.github.io/Logging_2421/kartor/A 34201-2019 karta.png", "A 34201-2019")</f>
        <v/>
      </c>
      <c r="V688">
        <f>HYPERLINK("https://klasma.github.io/Logging_2421/klagomål/A 34201-2019 FSC-klagomål.docx", "A 34201-2019")</f>
        <v/>
      </c>
      <c r="W688">
        <f>HYPERLINK("https://klasma.github.io/Logging_2421/klagomålsmail/A 34201-2019 FSC-klagomål mail.docx", "A 34201-2019")</f>
        <v/>
      </c>
      <c r="X688">
        <f>HYPERLINK("https://klasma.github.io/Logging_2421/tillsyn/A 34201-2019 tillsynsbegäran.docx", "A 34201-2019")</f>
        <v/>
      </c>
      <c r="Y688">
        <f>HYPERLINK("https://klasma.github.io/Logging_2421/tillsynsmail/A 34201-2019 tillsynsbegäran mail.docx", "A 34201-2019")</f>
        <v/>
      </c>
    </row>
    <row r="689" ht="15" customHeight="1">
      <c r="A689" t="inlineStr">
        <is>
          <t>A 35777-2019</t>
        </is>
      </c>
      <c r="B689" s="1" t="n">
        <v>43665</v>
      </c>
      <c r="C689" s="1" t="n">
        <v>45788</v>
      </c>
      <c r="D689" t="inlineStr">
        <is>
          <t>VÄSTERBOTTENS LÄN</t>
        </is>
      </c>
      <c r="E689" t="inlineStr">
        <is>
          <t>SKELLEFTEÅ</t>
        </is>
      </c>
      <c r="F689" t="inlineStr">
        <is>
          <t>Holmen skog AB</t>
        </is>
      </c>
      <c r="G689" t="n">
        <v>26.8</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35777-2019 artfynd.xlsx", "A 35777-2019")</f>
        <v/>
      </c>
      <c r="T689">
        <f>HYPERLINK("https://klasma.github.io/Logging_2482/kartor/A 35777-2019 karta.png", "A 35777-2019")</f>
        <v/>
      </c>
      <c r="V689">
        <f>HYPERLINK("https://klasma.github.io/Logging_2482/klagomål/A 35777-2019 FSC-klagomål.docx", "A 35777-2019")</f>
        <v/>
      </c>
      <c r="W689">
        <f>HYPERLINK("https://klasma.github.io/Logging_2482/klagomålsmail/A 35777-2019 FSC-klagomål mail.docx", "A 35777-2019")</f>
        <v/>
      </c>
      <c r="X689">
        <f>HYPERLINK("https://klasma.github.io/Logging_2482/tillsyn/A 35777-2019 tillsynsbegäran.docx", "A 35777-2019")</f>
        <v/>
      </c>
      <c r="Y689">
        <f>HYPERLINK("https://klasma.github.io/Logging_2482/tillsynsmail/A 35777-2019 tillsynsbegäran mail.docx", "A 35777-2019")</f>
        <v/>
      </c>
    </row>
    <row r="690" ht="15" customHeight="1">
      <c r="A690" t="inlineStr">
        <is>
          <t>A 45239-2019</t>
        </is>
      </c>
      <c r="B690" s="1" t="n">
        <v>43713</v>
      </c>
      <c r="C690" s="1" t="n">
        <v>45788</v>
      </c>
      <c r="D690" t="inlineStr">
        <is>
          <t>VÄSTERBOTTENS LÄN</t>
        </is>
      </c>
      <c r="E690" t="inlineStr">
        <is>
          <t>STORUMAN</t>
        </is>
      </c>
      <c r="G690" t="n">
        <v>9.5</v>
      </c>
      <c r="H690" t="n">
        <v>0</v>
      </c>
      <c r="I690" t="n">
        <v>1</v>
      </c>
      <c r="J690" t="n">
        <v>2</v>
      </c>
      <c r="K690" t="n">
        <v>0</v>
      </c>
      <c r="L690" t="n">
        <v>0</v>
      </c>
      <c r="M690" t="n">
        <v>0</v>
      </c>
      <c r="N690" t="n">
        <v>0</v>
      </c>
      <c r="O690" t="n">
        <v>2</v>
      </c>
      <c r="P690" t="n">
        <v>0</v>
      </c>
      <c r="Q690" t="n">
        <v>3</v>
      </c>
      <c r="R690" s="2" t="inlineStr">
        <is>
          <t>Dvärgbägarlav
Vedflamlav
Dropptaggsvamp</t>
        </is>
      </c>
      <c r="S690">
        <f>HYPERLINK("https://klasma.github.io/Logging_2421/artfynd/A 45239-2019 artfynd.xlsx", "A 45239-2019")</f>
        <v/>
      </c>
      <c r="T690">
        <f>HYPERLINK("https://klasma.github.io/Logging_2421/kartor/A 45239-2019 karta.png", "A 45239-2019")</f>
        <v/>
      </c>
      <c r="V690">
        <f>HYPERLINK("https://klasma.github.io/Logging_2421/klagomål/A 45239-2019 FSC-klagomål.docx", "A 45239-2019")</f>
        <v/>
      </c>
      <c r="W690">
        <f>HYPERLINK("https://klasma.github.io/Logging_2421/klagomålsmail/A 45239-2019 FSC-klagomål mail.docx", "A 45239-2019")</f>
        <v/>
      </c>
      <c r="X690">
        <f>HYPERLINK("https://klasma.github.io/Logging_2421/tillsyn/A 45239-2019 tillsynsbegäran.docx", "A 45239-2019")</f>
        <v/>
      </c>
      <c r="Y690">
        <f>HYPERLINK("https://klasma.github.io/Logging_2421/tillsynsmail/A 45239-2019 tillsynsbegäran mail.docx", "A 45239-2019")</f>
        <v/>
      </c>
    </row>
    <row r="691" ht="15" customHeight="1">
      <c r="A691" t="inlineStr">
        <is>
          <t>A 50902-2019</t>
        </is>
      </c>
      <c r="B691" s="1" t="n">
        <v>43738</v>
      </c>
      <c r="C691" s="1" t="n">
        <v>45788</v>
      </c>
      <c r="D691" t="inlineStr">
        <is>
          <t>VÄSTERBOTTENS LÄN</t>
        </is>
      </c>
      <c r="E691" t="inlineStr">
        <is>
          <t>ÅSELE</t>
        </is>
      </c>
      <c r="F691" t="inlineStr">
        <is>
          <t>Sveaskog</t>
        </is>
      </c>
      <c r="G691" t="n">
        <v>1.1</v>
      </c>
      <c r="H691" t="n">
        <v>0</v>
      </c>
      <c r="I691" t="n">
        <v>0</v>
      </c>
      <c r="J691" t="n">
        <v>3</v>
      </c>
      <c r="K691" t="n">
        <v>0</v>
      </c>
      <c r="L691" t="n">
        <v>0</v>
      </c>
      <c r="M691" t="n">
        <v>0</v>
      </c>
      <c r="N691" t="n">
        <v>0</v>
      </c>
      <c r="O691" t="n">
        <v>3</v>
      </c>
      <c r="P691" t="n">
        <v>0</v>
      </c>
      <c r="Q691" t="n">
        <v>3</v>
      </c>
      <c r="R691" s="2" t="inlineStr">
        <is>
          <t>Blanksvart spiklav
Dvärgbägarlav
Vedflamlav</t>
        </is>
      </c>
      <c r="S691">
        <f>HYPERLINK("https://klasma.github.io/Logging_2463/artfynd/A 50902-2019 artfynd.xlsx", "A 50902-2019")</f>
        <v/>
      </c>
      <c r="T691">
        <f>HYPERLINK("https://klasma.github.io/Logging_2463/kartor/A 50902-2019 karta.png", "A 50902-2019")</f>
        <v/>
      </c>
      <c r="V691">
        <f>HYPERLINK("https://klasma.github.io/Logging_2463/klagomål/A 50902-2019 FSC-klagomål.docx", "A 50902-2019")</f>
        <v/>
      </c>
      <c r="W691">
        <f>HYPERLINK("https://klasma.github.io/Logging_2463/klagomålsmail/A 50902-2019 FSC-klagomål mail.docx", "A 50902-2019")</f>
        <v/>
      </c>
      <c r="X691">
        <f>HYPERLINK("https://klasma.github.io/Logging_2463/tillsyn/A 50902-2019 tillsynsbegäran.docx", "A 50902-2019")</f>
        <v/>
      </c>
      <c r="Y691">
        <f>HYPERLINK("https://klasma.github.io/Logging_2463/tillsynsmail/A 50902-2019 tillsynsbegäran mail.docx", "A 50902-2019")</f>
        <v/>
      </c>
    </row>
    <row r="692" ht="15" customHeight="1">
      <c r="A692" t="inlineStr">
        <is>
          <t>A 50909-2019</t>
        </is>
      </c>
      <c r="B692" s="1" t="n">
        <v>43738</v>
      </c>
      <c r="C692" s="1" t="n">
        <v>45788</v>
      </c>
      <c r="D692" t="inlineStr">
        <is>
          <t>VÄSTERBOTTENS LÄN</t>
        </is>
      </c>
      <c r="E692" t="inlineStr">
        <is>
          <t>ÅSELE</t>
        </is>
      </c>
      <c r="F692" t="inlineStr">
        <is>
          <t>Sveaskog</t>
        </is>
      </c>
      <c r="G692" t="n">
        <v>3.6</v>
      </c>
      <c r="H692" t="n">
        <v>1</v>
      </c>
      <c r="I692" t="n">
        <v>0</v>
      </c>
      <c r="J692" t="n">
        <v>3</v>
      </c>
      <c r="K692" t="n">
        <v>0</v>
      </c>
      <c r="L692" t="n">
        <v>0</v>
      </c>
      <c r="M692" t="n">
        <v>0</v>
      </c>
      <c r="N692" t="n">
        <v>0</v>
      </c>
      <c r="O692" t="n">
        <v>3</v>
      </c>
      <c r="P692" t="n">
        <v>0</v>
      </c>
      <c r="Q692" t="n">
        <v>3</v>
      </c>
      <c r="R692" s="2" t="inlineStr">
        <is>
          <t>Blanksvart spiklav
Blågrå svartspik
Tretåig hackspett</t>
        </is>
      </c>
      <c r="S692">
        <f>HYPERLINK("https://klasma.github.io/Logging_2463/artfynd/A 50909-2019 artfynd.xlsx", "A 50909-2019")</f>
        <v/>
      </c>
      <c r="T692">
        <f>HYPERLINK("https://klasma.github.io/Logging_2463/kartor/A 50909-2019 karta.png", "A 50909-2019")</f>
        <v/>
      </c>
      <c r="V692">
        <f>HYPERLINK("https://klasma.github.io/Logging_2463/klagomål/A 50909-2019 FSC-klagomål.docx", "A 50909-2019")</f>
        <v/>
      </c>
      <c r="W692">
        <f>HYPERLINK("https://klasma.github.io/Logging_2463/klagomålsmail/A 50909-2019 FSC-klagomål mail.docx", "A 50909-2019")</f>
        <v/>
      </c>
      <c r="X692">
        <f>HYPERLINK("https://klasma.github.io/Logging_2463/tillsyn/A 50909-2019 tillsynsbegäran.docx", "A 50909-2019")</f>
        <v/>
      </c>
      <c r="Y692">
        <f>HYPERLINK("https://klasma.github.io/Logging_2463/tillsynsmail/A 50909-2019 tillsynsbegäran mail.docx", "A 50909-2019")</f>
        <v/>
      </c>
      <c r="Z692">
        <f>HYPERLINK("https://klasma.github.io/Logging_2463/fåglar/A 50909-2019 prioriterade fågelarter.docx", "A 50909-2019")</f>
        <v/>
      </c>
    </row>
    <row r="693" ht="15" customHeight="1">
      <c r="A693" t="inlineStr">
        <is>
          <t>A 51767-2019</t>
        </is>
      </c>
      <c r="B693" s="1" t="n">
        <v>43741</v>
      </c>
      <c r="C693" s="1" t="n">
        <v>45788</v>
      </c>
      <c r="D693" t="inlineStr">
        <is>
          <t>VÄSTERBOTTENS LÄN</t>
        </is>
      </c>
      <c r="E693" t="inlineStr">
        <is>
          <t>UMEÅ</t>
        </is>
      </c>
      <c r="F693" t="inlineStr">
        <is>
          <t>Holmen skog AB</t>
        </is>
      </c>
      <c r="G693" t="n">
        <v>12.4</v>
      </c>
      <c r="H693" t="n">
        <v>1</v>
      </c>
      <c r="I693" t="n">
        <v>1</v>
      </c>
      <c r="J693" t="n">
        <v>2</v>
      </c>
      <c r="K693" t="n">
        <v>0</v>
      </c>
      <c r="L693" t="n">
        <v>0</v>
      </c>
      <c r="M693" t="n">
        <v>0</v>
      </c>
      <c r="N693" t="n">
        <v>0</v>
      </c>
      <c r="O693" t="n">
        <v>2</v>
      </c>
      <c r="P693" t="n">
        <v>0</v>
      </c>
      <c r="Q693" t="n">
        <v>3</v>
      </c>
      <c r="R693" s="2" t="inlineStr">
        <is>
          <t>Garnlav
Talltita
Dropptaggsvamp</t>
        </is>
      </c>
      <c r="S693">
        <f>HYPERLINK("https://klasma.github.io/Logging_2480/artfynd/A 51767-2019 artfynd.xlsx", "A 51767-2019")</f>
        <v/>
      </c>
      <c r="T693">
        <f>HYPERLINK("https://klasma.github.io/Logging_2480/kartor/A 51767-2019 karta.png", "A 51767-2019")</f>
        <v/>
      </c>
      <c r="V693">
        <f>HYPERLINK("https://klasma.github.io/Logging_2480/klagomål/A 51767-2019 FSC-klagomål.docx", "A 51767-2019")</f>
        <v/>
      </c>
      <c r="W693">
        <f>HYPERLINK("https://klasma.github.io/Logging_2480/klagomålsmail/A 51767-2019 FSC-klagomål mail.docx", "A 51767-2019")</f>
        <v/>
      </c>
      <c r="X693">
        <f>HYPERLINK("https://klasma.github.io/Logging_2480/tillsyn/A 51767-2019 tillsynsbegäran.docx", "A 51767-2019")</f>
        <v/>
      </c>
      <c r="Y693">
        <f>HYPERLINK("https://klasma.github.io/Logging_2480/tillsynsmail/A 51767-2019 tillsynsbegäran mail.docx", "A 51767-2019")</f>
        <v/>
      </c>
      <c r="Z693">
        <f>HYPERLINK("https://klasma.github.io/Logging_2480/fåglar/A 51767-2019 prioriterade fågelarter.docx", "A 51767-2019")</f>
        <v/>
      </c>
    </row>
    <row r="694" ht="15" customHeight="1">
      <c r="A694" t="inlineStr">
        <is>
          <t>A 54111-2019</t>
        </is>
      </c>
      <c r="B694" s="1" t="n">
        <v>43752</v>
      </c>
      <c r="C694" s="1" t="n">
        <v>45788</v>
      </c>
      <c r="D694" t="inlineStr">
        <is>
          <t>VÄSTERBOTTENS LÄN</t>
        </is>
      </c>
      <c r="E694" t="inlineStr">
        <is>
          <t>SKELLEFTEÅ</t>
        </is>
      </c>
      <c r="F694" t="inlineStr">
        <is>
          <t>Sveaskog</t>
        </is>
      </c>
      <c r="G694" t="n">
        <v>30.6</v>
      </c>
      <c r="H694" t="n">
        <v>0</v>
      </c>
      <c r="I694" t="n">
        <v>1</v>
      </c>
      <c r="J694" t="n">
        <v>2</v>
      </c>
      <c r="K694" t="n">
        <v>0</v>
      </c>
      <c r="L694" t="n">
        <v>0</v>
      </c>
      <c r="M694" t="n">
        <v>0</v>
      </c>
      <c r="N694" t="n">
        <v>0</v>
      </c>
      <c r="O694" t="n">
        <v>2</v>
      </c>
      <c r="P694" t="n">
        <v>0</v>
      </c>
      <c r="Q694" t="n">
        <v>3</v>
      </c>
      <c r="R694" s="2" t="inlineStr">
        <is>
          <t>Kolflarnlav
Vedskivlav
Skarp dropptaggsvamp</t>
        </is>
      </c>
      <c r="S694">
        <f>HYPERLINK("https://klasma.github.io/Logging_2482/artfynd/A 54111-2019 artfynd.xlsx", "A 54111-2019")</f>
        <v/>
      </c>
      <c r="T694">
        <f>HYPERLINK("https://klasma.github.io/Logging_2482/kartor/A 54111-2019 karta.png", "A 54111-2019")</f>
        <v/>
      </c>
      <c r="V694">
        <f>HYPERLINK("https://klasma.github.io/Logging_2482/klagomål/A 54111-2019 FSC-klagomål.docx", "A 54111-2019")</f>
        <v/>
      </c>
      <c r="W694">
        <f>HYPERLINK("https://klasma.github.io/Logging_2482/klagomålsmail/A 54111-2019 FSC-klagomål mail.docx", "A 54111-2019")</f>
        <v/>
      </c>
      <c r="X694">
        <f>HYPERLINK("https://klasma.github.io/Logging_2482/tillsyn/A 54111-2019 tillsynsbegäran.docx", "A 54111-2019")</f>
        <v/>
      </c>
      <c r="Y694">
        <f>HYPERLINK("https://klasma.github.io/Logging_2482/tillsynsmail/A 54111-2019 tillsynsbegäran mail.docx", "A 54111-2019")</f>
        <v/>
      </c>
    </row>
    <row r="695" ht="15" customHeight="1">
      <c r="A695" t="inlineStr">
        <is>
          <t>A 56885-2019</t>
        </is>
      </c>
      <c r="B695" s="1" t="n">
        <v>43766</v>
      </c>
      <c r="C695" s="1" t="n">
        <v>45788</v>
      </c>
      <c r="D695" t="inlineStr">
        <is>
          <t>VÄSTERBOTTENS LÄN</t>
        </is>
      </c>
      <c r="E695" t="inlineStr">
        <is>
          <t>STORUMAN</t>
        </is>
      </c>
      <c r="F695" t="inlineStr">
        <is>
          <t>Sveaskog</t>
        </is>
      </c>
      <c r="G695" t="n">
        <v>9.800000000000001</v>
      </c>
      <c r="H695" t="n">
        <v>0</v>
      </c>
      <c r="I695" t="n">
        <v>1</v>
      </c>
      <c r="J695" t="n">
        <v>2</v>
      </c>
      <c r="K695" t="n">
        <v>0</v>
      </c>
      <c r="L695" t="n">
        <v>0</v>
      </c>
      <c r="M695" t="n">
        <v>0</v>
      </c>
      <c r="N695" t="n">
        <v>0</v>
      </c>
      <c r="O695" t="n">
        <v>2</v>
      </c>
      <c r="P695" t="n">
        <v>0</v>
      </c>
      <c r="Q695" t="n">
        <v>3</v>
      </c>
      <c r="R695" s="2" t="inlineStr">
        <is>
          <t>Gammelgransskål
Garnlav
Luddlav</t>
        </is>
      </c>
      <c r="S695">
        <f>HYPERLINK("https://klasma.github.io/Logging_2421/artfynd/A 56885-2019 artfynd.xlsx", "A 56885-2019")</f>
        <v/>
      </c>
      <c r="T695">
        <f>HYPERLINK("https://klasma.github.io/Logging_2421/kartor/A 56885-2019 karta.png", "A 56885-2019")</f>
        <v/>
      </c>
      <c r="V695">
        <f>HYPERLINK("https://klasma.github.io/Logging_2421/klagomål/A 56885-2019 FSC-klagomål.docx", "A 56885-2019")</f>
        <v/>
      </c>
      <c r="W695">
        <f>HYPERLINK("https://klasma.github.io/Logging_2421/klagomålsmail/A 56885-2019 FSC-klagomål mail.docx", "A 56885-2019")</f>
        <v/>
      </c>
      <c r="X695">
        <f>HYPERLINK("https://klasma.github.io/Logging_2421/tillsyn/A 56885-2019 tillsynsbegäran.docx", "A 56885-2019")</f>
        <v/>
      </c>
      <c r="Y695">
        <f>HYPERLINK("https://klasma.github.io/Logging_2421/tillsynsmail/A 56885-2019 tillsynsbegäran mail.docx", "A 56885-2019")</f>
        <v/>
      </c>
    </row>
    <row r="696" ht="15" customHeight="1">
      <c r="A696" t="inlineStr">
        <is>
          <t>A 57209-2019</t>
        </is>
      </c>
      <c r="B696" s="1" t="n">
        <v>43767</v>
      </c>
      <c r="C696" s="1" t="n">
        <v>45788</v>
      </c>
      <c r="D696" t="inlineStr">
        <is>
          <t>VÄSTERBOTTENS LÄN</t>
        </is>
      </c>
      <c r="E696" t="inlineStr">
        <is>
          <t>MALÅ</t>
        </is>
      </c>
      <c r="F696" t="inlineStr">
        <is>
          <t>Sveaskog</t>
        </is>
      </c>
      <c r="G696" t="n">
        <v>7.7</v>
      </c>
      <c r="H696" t="n">
        <v>0</v>
      </c>
      <c r="I696" t="n">
        <v>1</v>
      </c>
      <c r="J696" t="n">
        <v>2</v>
      </c>
      <c r="K696" t="n">
        <v>0</v>
      </c>
      <c r="L696" t="n">
        <v>0</v>
      </c>
      <c r="M696" t="n">
        <v>0</v>
      </c>
      <c r="N696" t="n">
        <v>0</v>
      </c>
      <c r="O696" t="n">
        <v>2</v>
      </c>
      <c r="P696" t="n">
        <v>0</v>
      </c>
      <c r="Q696" t="n">
        <v>3</v>
      </c>
      <c r="R696" s="2" t="inlineStr">
        <is>
          <t>Gammelgransskål
Lunglav
Stuplav</t>
        </is>
      </c>
      <c r="S696">
        <f>HYPERLINK("https://klasma.github.io/Logging_2418/artfynd/A 57209-2019 artfynd.xlsx", "A 57209-2019")</f>
        <v/>
      </c>
      <c r="T696">
        <f>HYPERLINK("https://klasma.github.io/Logging_2418/kartor/A 57209-2019 karta.png", "A 57209-2019")</f>
        <v/>
      </c>
      <c r="V696">
        <f>HYPERLINK("https://klasma.github.io/Logging_2418/klagomål/A 57209-2019 FSC-klagomål.docx", "A 57209-2019")</f>
        <v/>
      </c>
      <c r="W696">
        <f>HYPERLINK("https://klasma.github.io/Logging_2418/klagomålsmail/A 57209-2019 FSC-klagomål mail.docx", "A 57209-2019")</f>
        <v/>
      </c>
      <c r="X696">
        <f>HYPERLINK("https://klasma.github.io/Logging_2418/tillsyn/A 57209-2019 tillsynsbegäran.docx", "A 57209-2019")</f>
        <v/>
      </c>
      <c r="Y696">
        <f>HYPERLINK("https://klasma.github.io/Logging_2418/tillsynsmail/A 57209-2019 tillsynsbegäran mail.docx", "A 57209-2019")</f>
        <v/>
      </c>
    </row>
    <row r="697" ht="15" customHeight="1">
      <c r="A697" t="inlineStr">
        <is>
          <t>A 64056-2019</t>
        </is>
      </c>
      <c r="B697" s="1" t="n">
        <v>43796</v>
      </c>
      <c r="C697" s="1" t="n">
        <v>45788</v>
      </c>
      <c r="D697" t="inlineStr">
        <is>
          <t>VÄSTERBOTTENS LÄN</t>
        </is>
      </c>
      <c r="E697" t="inlineStr">
        <is>
          <t>SKELLEFTEÅ</t>
        </is>
      </c>
      <c r="F697" t="inlineStr">
        <is>
          <t>Sveaskog</t>
        </is>
      </c>
      <c r="G697" t="n">
        <v>4.1</v>
      </c>
      <c r="H697" t="n">
        <v>0</v>
      </c>
      <c r="I697" t="n">
        <v>0</v>
      </c>
      <c r="J697" t="n">
        <v>3</v>
      </c>
      <c r="K697" t="n">
        <v>0</v>
      </c>
      <c r="L697" t="n">
        <v>0</v>
      </c>
      <c r="M697" t="n">
        <v>0</v>
      </c>
      <c r="N697" t="n">
        <v>0</v>
      </c>
      <c r="O697" t="n">
        <v>3</v>
      </c>
      <c r="P697" t="n">
        <v>0</v>
      </c>
      <c r="Q697" t="n">
        <v>3</v>
      </c>
      <c r="R697" s="2" t="inlineStr">
        <is>
          <t>Gammelgransskål
Garnlav
Lunglav</t>
        </is>
      </c>
      <c r="S697">
        <f>HYPERLINK("https://klasma.github.io/Logging_2482/artfynd/A 64056-2019 artfynd.xlsx", "A 64056-2019")</f>
        <v/>
      </c>
      <c r="T697">
        <f>HYPERLINK("https://klasma.github.io/Logging_2482/kartor/A 64056-2019 karta.png", "A 64056-2019")</f>
        <v/>
      </c>
      <c r="V697">
        <f>HYPERLINK("https://klasma.github.io/Logging_2482/klagomål/A 64056-2019 FSC-klagomål.docx", "A 64056-2019")</f>
        <v/>
      </c>
      <c r="W697">
        <f>HYPERLINK("https://klasma.github.io/Logging_2482/klagomålsmail/A 64056-2019 FSC-klagomål mail.docx", "A 64056-2019")</f>
        <v/>
      </c>
      <c r="X697">
        <f>HYPERLINK("https://klasma.github.io/Logging_2482/tillsyn/A 64056-2019 tillsynsbegäran.docx", "A 64056-2019")</f>
        <v/>
      </c>
      <c r="Y697">
        <f>HYPERLINK("https://klasma.github.io/Logging_2482/tillsynsmail/A 64056-2019 tillsynsbegäran mail.docx", "A 64056-2019")</f>
        <v/>
      </c>
    </row>
    <row r="698" ht="15" customHeight="1">
      <c r="A698" t="inlineStr">
        <is>
          <t>A 3109-2020</t>
        </is>
      </c>
      <c r="B698" s="1" t="n">
        <v>43851</v>
      </c>
      <c r="C698" s="1" t="n">
        <v>45788</v>
      </c>
      <c r="D698" t="inlineStr">
        <is>
          <t>VÄSTERBOTTENS LÄN</t>
        </is>
      </c>
      <c r="E698" t="inlineStr">
        <is>
          <t>UMEÅ</t>
        </is>
      </c>
      <c r="G698" t="n">
        <v>2.2</v>
      </c>
      <c r="H698" t="n">
        <v>1</v>
      </c>
      <c r="I698" t="n">
        <v>1</v>
      </c>
      <c r="J698" t="n">
        <v>1</v>
      </c>
      <c r="K698" t="n">
        <v>1</v>
      </c>
      <c r="L698" t="n">
        <v>0</v>
      </c>
      <c r="M698" t="n">
        <v>0</v>
      </c>
      <c r="N698" t="n">
        <v>0</v>
      </c>
      <c r="O698" t="n">
        <v>2</v>
      </c>
      <c r="P698" t="n">
        <v>1</v>
      </c>
      <c r="Q698" t="n">
        <v>3</v>
      </c>
      <c r="R698" s="2" t="inlineStr">
        <is>
          <t>Långskägg
Granticka
Vedticka</t>
        </is>
      </c>
      <c r="S698">
        <f>HYPERLINK("https://klasma.github.io/Logging_2480/artfynd/A 3109-2020 artfynd.xlsx", "A 3109-2020")</f>
        <v/>
      </c>
      <c r="T698">
        <f>HYPERLINK("https://klasma.github.io/Logging_2480/kartor/A 3109-2020 karta.png", "A 3109-2020")</f>
        <v/>
      </c>
      <c r="V698">
        <f>HYPERLINK("https://klasma.github.io/Logging_2480/klagomål/A 3109-2020 FSC-klagomål.docx", "A 3109-2020")</f>
        <v/>
      </c>
      <c r="W698">
        <f>HYPERLINK("https://klasma.github.io/Logging_2480/klagomålsmail/A 3109-2020 FSC-klagomål mail.docx", "A 3109-2020")</f>
        <v/>
      </c>
      <c r="X698">
        <f>HYPERLINK("https://klasma.github.io/Logging_2480/tillsyn/A 3109-2020 tillsynsbegäran.docx", "A 3109-2020")</f>
        <v/>
      </c>
      <c r="Y698">
        <f>HYPERLINK("https://klasma.github.io/Logging_2480/tillsynsmail/A 3109-2020 tillsynsbegäran mail.docx", "A 3109-2020")</f>
        <v/>
      </c>
    </row>
    <row r="699" ht="15" customHeight="1">
      <c r="A699" t="inlineStr">
        <is>
          <t>A 14267-2020</t>
        </is>
      </c>
      <c r="B699" s="1" t="n">
        <v>43901</v>
      </c>
      <c r="C699" s="1" t="n">
        <v>45788</v>
      </c>
      <c r="D699" t="inlineStr">
        <is>
          <t>VÄSTERBOTTENS LÄN</t>
        </is>
      </c>
      <c r="E699" t="inlineStr">
        <is>
          <t>UMEÅ</t>
        </is>
      </c>
      <c r="G699" t="n">
        <v>2.2</v>
      </c>
      <c r="H699" t="n">
        <v>1</v>
      </c>
      <c r="I699" t="n">
        <v>1</v>
      </c>
      <c r="J699" t="n">
        <v>2</v>
      </c>
      <c r="K699" t="n">
        <v>0</v>
      </c>
      <c r="L699" t="n">
        <v>0</v>
      </c>
      <c r="M699" t="n">
        <v>0</v>
      </c>
      <c r="N699" t="n">
        <v>0</v>
      </c>
      <c r="O699" t="n">
        <v>2</v>
      </c>
      <c r="P699" t="n">
        <v>0</v>
      </c>
      <c r="Q699" t="n">
        <v>3</v>
      </c>
      <c r="R699" s="2" t="inlineStr">
        <is>
          <t>Garnlav
Tretåig hackspett
Vedticka</t>
        </is>
      </c>
      <c r="S699">
        <f>HYPERLINK("https://klasma.github.io/Logging_2480/artfynd/A 14267-2020 artfynd.xlsx", "A 14267-2020")</f>
        <v/>
      </c>
      <c r="T699">
        <f>HYPERLINK("https://klasma.github.io/Logging_2480/kartor/A 14267-2020 karta.png", "A 14267-2020")</f>
        <v/>
      </c>
      <c r="V699">
        <f>HYPERLINK("https://klasma.github.io/Logging_2480/klagomål/A 14267-2020 FSC-klagomål.docx", "A 14267-2020")</f>
        <v/>
      </c>
      <c r="W699">
        <f>HYPERLINK("https://klasma.github.io/Logging_2480/klagomålsmail/A 14267-2020 FSC-klagomål mail.docx", "A 14267-2020")</f>
        <v/>
      </c>
      <c r="X699">
        <f>HYPERLINK("https://klasma.github.io/Logging_2480/tillsyn/A 14267-2020 tillsynsbegäran.docx", "A 14267-2020")</f>
        <v/>
      </c>
      <c r="Y699">
        <f>HYPERLINK("https://klasma.github.io/Logging_2480/tillsynsmail/A 14267-2020 tillsynsbegäran mail.docx", "A 14267-2020")</f>
        <v/>
      </c>
      <c r="Z699">
        <f>HYPERLINK("https://klasma.github.io/Logging_2480/fåglar/A 14267-2020 prioriterade fågelarter.docx", "A 14267-2020")</f>
        <v/>
      </c>
    </row>
    <row r="700" ht="15" customHeight="1">
      <c r="A700" t="inlineStr">
        <is>
          <t>A 17571-2020</t>
        </is>
      </c>
      <c r="B700" s="1" t="n">
        <v>43920</v>
      </c>
      <c r="C700" s="1" t="n">
        <v>45788</v>
      </c>
      <c r="D700" t="inlineStr">
        <is>
          <t>VÄSTERBOTTENS LÄN</t>
        </is>
      </c>
      <c r="E700" t="inlineStr">
        <is>
          <t>BJURHOLM</t>
        </is>
      </c>
      <c r="G700" t="n">
        <v>12.1</v>
      </c>
      <c r="H700" t="n">
        <v>0</v>
      </c>
      <c r="I700" t="n">
        <v>0</v>
      </c>
      <c r="J700" t="n">
        <v>3</v>
      </c>
      <c r="K700" t="n">
        <v>0</v>
      </c>
      <c r="L700" t="n">
        <v>0</v>
      </c>
      <c r="M700" t="n">
        <v>0</v>
      </c>
      <c r="N700" t="n">
        <v>0</v>
      </c>
      <c r="O700" t="n">
        <v>3</v>
      </c>
      <c r="P700" t="n">
        <v>0</v>
      </c>
      <c r="Q700" t="n">
        <v>3</v>
      </c>
      <c r="R700" s="2" t="inlineStr">
        <is>
          <t>Garnlav
Ullticka
Violettgrå tagellav</t>
        </is>
      </c>
      <c r="S700">
        <f>HYPERLINK("https://klasma.github.io/Logging_2403/artfynd/A 17571-2020 artfynd.xlsx", "A 17571-2020")</f>
        <v/>
      </c>
      <c r="T700">
        <f>HYPERLINK("https://klasma.github.io/Logging_2403/kartor/A 17571-2020 karta.png", "A 17571-2020")</f>
        <v/>
      </c>
      <c r="V700">
        <f>HYPERLINK("https://klasma.github.io/Logging_2403/klagomål/A 17571-2020 FSC-klagomål.docx", "A 17571-2020")</f>
        <v/>
      </c>
      <c r="W700">
        <f>HYPERLINK("https://klasma.github.io/Logging_2403/klagomålsmail/A 17571-2020 FSC-klagomål mail.docx", "A 17571-2020")</f>
        <v/>
      </c>
      <c r="X700">
        <f>HYPERLINK("https://klasma.github.io/Logging_2403/tillsyn/A 17571-2020 tillsynsbegäran.docx", "A 17571-2020")</f>
        <v/>
      </c>
      <c r="Y700">
        <f>HYPERLINK("https://klasma.github.io/Logging_2403/tillsynsmail/A 17571-2020 tillsynsbegäran mail.docx", "A 17571-2020")</f>
        <v/>
      </c>
    </row>
    <row r="701" ht="15" customHeight="1">
      <c r="A701" t="inlineStr">
        <is>
          <t>A 18717-2020</t>
        </is>
      </c>
      <c r="B701" s="1" t="n">
        <v>43930</v>
      </c>
      <c r="C701" s="1" t="n">
        <v>45788</v>
      </c>
      <c r="D701" t="inlineStr">
        <is>
          <t>VÄSTERBOTTENS LÄN</t>
        </is>
      </c>
      <c r="E701" t="inlineStr">
        <is>
          <t>NORDMALING</t>
        </is>
      </c>
      <c r="G701" t="n">
        <v>4.3</v>
      </c>
      <c r="H701" t="n">
        <v>0</v>
      </c>
      <c r="I701" t="n">
        <v>1</v>
      </c>
      <c r="J701" t="n">
        <v>2</v>
      </c>
      <c r="K701" t="n">
        <v>0</v>
      </c>
      <c r="L701" t="n">
        <v>0</v>
      </c>
      <c r="M701" t="n">
        <v>0</v>
      </c>
      <c r="N701" t="n">
        <v>0</v>
      </c>
      <c r="O701" t="n">
        <v>2</v>
      </c>
      <c r="P701" t="n">
        <v>0</v>
      </c>
      <c r="Q701" t="n">
        <v>3</v>
      </c>
      <c r="R701" s="2" t="inlineStr">
        <is>
          <t>Gammelgransskål
Vitgrynig nållav
Vedticka</t>
        </is>
      </c>
      <c r="S701">
        <f>HYPERLINK("https://klasma.github.io/Logging_2401/artfynd/A 18717-2020 artfynd.xlsx", "A 18717-2020")</f>
        <v/>
      </c>
      <c r="T701">
        <f>HYPERLINK("https://klasma.github.io/Logging_2401/kartor/A 18717-2020 karta.png", "A 18717-2020")</f>
        <v/>
      </c>
      <c r="V701">
        <f>HYPERLINK("https://klasma.github.io/Logging_2401/klagomål/A 18717-2020 FSC-klagomål.docx", "A 18717-2020")</f>
        <v/>
      </c>
      <c r="W701">
        <f>HYPERLINK("https://klasma.github.io/Logging_2401/klagomålsmail/A 18717-2020 FSC-klagomål mail.docx", "A 18717-2020")</f>
        <v/>
      </c>
      <c r="X701">
        <f>HYPERLINK("https://klasma.github.io/Logging_2401/tillsyn/A 18717-2020 tillsynsbegäran.docx", "A 18717-2020")</f>
        <v/>
      </c>
      <c r="Y701">
        <f>HYPERLINK("https://klasma.github.io/Logging_2401/tillsynsmail/A 18717-2020 tillsynsbegäran mail.docx", "A 18717-2020")</f>
        <v/>
      </c>
    </row>
    <row r="702" ht="15" customHeight="1">
      <c r="A702" t="inlineStr">
        <is>
          <t>A 32940-2020</t>
        </is>
      </c>
      <c r="B702" s="1" t="n">
        <v>44018</v>
      </c>
      <c r="C702" s="1" t="n">
        <v>45788</v>
      </c>
      <c r="D702" t="inlineStr">
        <is>
          <t>VÄSTERBOTTENS LÄN</t>
        </is>
      </c>
      <c r="E702" t="inlineStr">
        <is>
          <t>SKELLEFTEÅ</t>
        </is>
      </c>
      <c r="G702" t="n">
        <v>15.6</v>
      </c>
      <c r="H702" t="n">
        <v>0</v>
      </c>
      <c r="I702" t="n">
        <v>1</v>
      </c>
      <c r="J702" t="n">
        <v>1</v>
      </c>
      <c r="K702" t="n">
        <v>1</v>
      </c>
      <c r="L702" t="n">
        <v>0</v>
      </c>
      <c r="M702" t="n">
        <v>0</v>
      </c>
      <c r="N702" t="n">
        <v>0</v>
      </c>
      <c r="O702" t="n">
        <v>2</v>
      </c>
      <c r="P702" t="n">
        <v>1</v>
      </c>
      <c r="Q702" t="n">
        <v>3</v>
      </c>
      <c r="R702" s="2" t="inlineStr">
        <is>
          <t>Goliatmusseron
Skrovlig taggsvamp
Dropptaggsvamp</t>
        </is>
      </c>
      <c r="S702">
        <f>HYPERLINK("https://klasma.github.io/Logging_2482/artfynd/A 32940-2020 artfynd.xlsx", "A 32940-2020")</f>
        <v/>
      </c>
      <c r="T702">
        <f>HYPERLINK("https://klasma.github.io/Logging_2482/kartor/A 32940-2020 karta.png", "A 32940-2020")</f>
        <v/>
      </c>
      <c r="V702">
        <f>HYPERLINK("https://klasma.github.io/Logging_2482/klagomål/A 32940-2020 FSC-klagomål.docx", "A 32940-2020")</f>
        <v/>
      </c>
      <c r="W702">
        <f>HYPERLINK("https://klasma.github.io/Logging_2482/klagomålsmail/A 32940-2020 FSC-klagomål mail.docx", "A 32940-2020")</f>
        <v/>
      </c>
      <c r="X702">
        <f>HYPERLINK("https://klasma.github.io/Logging_2482/tillsyn/A 32940-2020 tillsynsbegäran.docx", "A 32940-2020")</f>
        <v/>
      </c>
      <c r="Y702">
        <f>HYPERLINK("https://klasma.github.io/Logging_2482/tillsynsmail/A 32940-2020 tillsynsbegäran mail.docx", "A 32940-2020")</f>
        <v/>
      </c>
    </row>
    <row r="703" ht="15" customHeight="1">
      <c r="A703" t="inlineStr">
        <is>
          <t>A 33729-2020</t>
        </is>
      </c>
      <c r="B703" s="1" t="n">
        <v>44026</v>
      </c>
      <c r="C703" s="1" t="n">
        <v>45788</v>
      </c>
      <c r="D703" t="inlineStr">
        <is>
          <t>VÄSTERBOTTENS LÄN</t>
        </is>
      </c>
      <c r="E703" t="inlineStr">
        <is>
          <t>BJURHOLM</t>
        </is>
      </c>
      <c r="F703" t="inlineStr">
        <is>
          <t>Holmen skog AB</t>
        </is>
      </c>
      <c r="G703" t="n">
        <v>7.9</v>
      </c>
      <c r="H703" t="n">
        <v>0</v>
      </c>
      <c r="I703" t="n">
        <v>0</v>
      </c>
      <c r="J703" t="n">
        <v>3</v>
      </c>
      <c r="K703" t="n">
        <v>0</v>
      </c>
      <c r="L703" t="n">
        <v>0</v>
      </c>
      <c r="M703" t="n">
        <v>0</v>
      </c>
      <c r="N703" t="n">
        <v>0</v>
      </c>
      <c r="O703" t="n">
        <v>3</v>
      </c>
      <c r="P703" t="n">
        <v>0</v>
      </c>
      <c r="Q703" t="n">
        <v>3</v>
      </c>
      <c r="R703" s="2" t="inlineStr">
        <is>
          <t>Stjärntagging
Violettgrå tagellav
Vitgrynig nållav</t>
        </is>
      </c>
      <c r="S703">
        <f>HYPERLINK("https://klasma.github.io/Logging_2403/artfynd/A 33729-2020 artfynd.xlsx", "A 33729-2020")</f>
        <v/>
      </c>
      <c r="T703">
        <f>HYPERLINK("https://klasma.github.io/Logging_2403/kartor/A 33729-2020 karta.png", "A 33729-2020")</f>
        <v/>
      </c>
      <c r="V703">
        <f>HYPERLINK("https://klasma.github.io/Logging_2403/klagomål/A 33729-2020 FSC-klagomål.docx", "A 33729-2020")</f>
        <v/>
      </c>
      <c r="W703">
        <f>HYPERLINK("https://klasma.github.io/Logging_2403/klagomålsmail/A 33729-2020 FSC-klagomål mail.docx", "A 33729-2020")</f>
        <v/>
      </c>
      <c r="X703">
        <f>HYPERLINK("https://klasma.github.io/Logging_2403/tillsyn/A 33729-2020 tillsynsbegäran.docx", "A 33729-2020")</f>
        <v/>
      </c>
      <c r="Y703">
        <f>HYPERLINK("https://klasma.github.io/Logging_2403/tillsynsmail/A 33729-2020 tillsynsbegäran mail.docx", "A 33729-2020")</f>
        <v/>
      </c>
    </row>
    <row r="704" ht="15" customHeight="1">
      <c r="A704" t="inlineStr">
        <is>
          <t>A 40137-2020</t>
        </is>
      </c>
      <c r="B704" s="1" t="n">
        <v>44064</v>
      </c>
      <c r="C704" s="1" t="n">
        <v>45788</v>
      </c>
      <c r="D704" t="inlineStr">
        <is>
          <t>VÄSTERBOTTENS LÄN</t>
        </is>
      </c>
      <c r="E704" t="inlineStr">
        <is>
          <t>NORDMALING</t>
        </is>
      </c>
      <c r="G704" t="n">
        <v>0.8</v>
      </c>
      <c r="H704" t="n">
        <v>0</v>
      </c>
      <c r="I704" t="n">
        <v>2</v>
      </c>
      <c r="J704" t="n">
        <v>1</v>
      </c>
      <c r="K704" t="n">
        <v>0</v>
      </c>
      <c r="L704" t="n">
        <v>0</v>
      </c>
      <c r="M704" t="n">
        <v>0</v>
      </c>
      <c r="N704" t="n">
        <v>0</v>
      </c>
      <c r="O704" t="n">
        <v>1</v>
      </c>
      <c r="P704" t="n">
        <v>0</v>
      </c>
      <c r="Q704" t="n">
        <v>3</v>
      </c>
      <c r="R704" s="2" t="inlineStr">
        <is>
          <t>Ullticka
Bronshjon
Skinnlav</t>
        </is>
      </c>
      <c r="S704">
        <f>HYPERLINK("https://klasma.github.io/Logging_2401/artfynd/A 40137-2020 artfynd.xlsx", "A 40137-2020")</f>
        <v/>
      </c>
      <c r="T704">
        <f>HYPERLINK("https://klasma.github.io/Logging_2401/kartor/A 40137-2020 karta.png", "A 40137-2020")</f>
        <v/>
      </c>
      <c r="V704">
        <f>HYPERLINK("https://klasma.github.io/Logging_2401/klagomål/A 40137-2020 FSC-klagomål.docx", "A 40137-2020")</f>
        <v/>
      </c>
      <c r="W704">
        <f>HYPERLINK("https://klasma.github.io/Logging_2401/klagomålsmail/A 40137-2020 FSC-klagomål mail.docx", "A 40137-2020")</f>
        <v/>
      </c>
      <c r="X704">
        <f>HYPERLINK("https://klasma.github.io/Logging_2401/tillsyn/A 40137-2020 tillsynsbegäran.docx", "A 40137-2020")</f>
        <v/>
      </c>
      <c r="Y704">
        <f>HYPERLINK("https://klasma.github.io/Logging_2401/tillsynsmail/A 40137-2020 tillsynsbegäran mail.docx", "A 40137-2020")</f>
        <v/>
      </c>
    </row>
    <row r="705" ht="15" customHeight="1">
      <c r="A705" t="inlineStr">
        <is>
          <t>A 40421-2020</t>
        </is>
      </c>
      <c r="B705" s="1" t="n">
        <v>44068</v>
      </c>
      <c r="C705" s="1" t="n">
        <v>45788</v>
      </c>
      <c r="D705" t="inlineStr">
        <is>
          <t>VÄSTERBOTTENS LÄN</t>
        </is>
      </c>
      <c r="E705" t="inlineStr">
        <is>
          <t>UMEÅ</t>
        </is>
      </c>
      <c r="F705" t="inlineStr">
        <is>
          <t>Kommuner</t>
        </is>
      </c>
      <c r="G705" t="n">
        <v>3</v>
      </c>
      <c r="H705" t="n">
        <v>1</v>
      </c>
      <c r="I705" t="n">
        <v>1</v>
      </c>
      <c r="J705" t="n">
        <v>2</v>
      </c>
      <c r="K705" t="n">
        <v>0</v>
      </c>
      <c r="L705" t="n">
        <v>0</v>
      </c>
      <c r="M705" t="n">
        <v>0</v>
      </c>
      <c r="N705" t="n">
        <v>0</v>
      </c>
      <c r="O705" t="n">
        <v>2</v>
      </c>
      <c r="P705" t="n">
        <v>0</v>
      </c>
      <c r="Q705" t="n">
        <v>3</v>
      </c>
      <c r="R705" s="2" t="inlineStr">
        <is>
          <t>Garnlav
Tretåig hackspett
Nästlav</t>
        </is>
      </c>
      <c r="S705">
        <f>HYPERLINK("https://klasma.github.io/Logging_2480/artfynd/A 40421-2020 artfynd.xlsx", "A 40421-2020")</f>
        <v/>
      </c>
      <c r="T705">
        <f>HYPERLINK("https://klasma.github.io/Logging_2480/kartor/A 40421-2020 karta.png", "A 40421-2020")</f>
        <v/>
      </c>
      <c r="V705">
        <f>HYPERLINK("https://klasma.github.io/Logging_2480/klagomål/A 40421-2020 FSC-klagomål.docx", "A 40421-2020")</f>
        <v/>
      </c>
      <c r="W705">
        <f>HYPERLINK("https://klasma.github.io/Logging_2480/klagomålsmail/A 40421-2020 FSC-klagomål mail.docx", "A 40421-2020")</f>
        <v/>
      </c>
      <c r="X705">
        <f>HYPERLINK("https://klasma.github.io/Logging_2480/tillsyn/A 40421-2020 tillsynsbegäran.docx", "A 40421-2020")</f>
        <v/>
      </c>
      <c r="Y705">
        <f>HYPERLINK("https://klasma.github.io/Logging_2480/tillsynsmail/A 40421-2020 tillsynsbegäran mail.docx", "A 40421-2020")</f>
        <v/>
      </c>
      <c r="Z705">
        <f>HYPERLINK("https://klasma.github.io/Logging_2480/fåglar/A 40421-2020 prioriterade fågelarter.docx", "A 40421-2020")</f>
        <v/>
      </c>
    </row>
    <row r="706" ht="15" customHeight="1">
      <c r="A706" t="inlineStr">
        <is>
          <t>A 40098-2020</t>
        </is>
      </c>
      <c r="B706" s="1" t="n">
        <v>44068</v>
      </c>
      <c r="C706" s="1" t="n">
        <v>45788</v>
      </c>
      <c r="D706" t="inlineStr">
        <is>
          <t>VÄSTERBOTTENS LÄN</t>
        </is>
      </c>
      <c r="E706" t="inlineStr">
        <is>
          <t>ROBERTSFORS</t>
        </is>
      </c>
      <c r="F706" t="inlineStr">
        <is>
          <t>Holmen skog AB</t>
        </is>
      </c>
      <c r="G706" t="n">
        <v>4.6</v>
      </c>
      <c r="H706" t="n">
        <v>2</v>
      </c>
      <c r="I706" t="n">
        <v>0</v>
      </c>
      <c r="J706" t="n">
        <v>3</v>
      </c>
      <c r="K706" t="n">
        <v>0</v>
      </c>
      <c r="L706" t="n">
        <v>0</v>
      </c>
      <c r="M706" t="n">
        <v>0</v>
      </c>
      <c r="N706" t="n">
        <v>0</v>
      </c>
      <c r="O706" t="n">
        <v>3</v>
      </c>
      <c r="P706" t="n">
        <v>0</v>
      </c>
      <c r="Q706" t="n">
        <v>3</v>
      </c>
      <c r="R706" s="2" t="inlineStr">
        <is>
          <t>Garnlav
Spillkråka
Tretåig hackspett</t>
        </is>
      </c>
      <c r="S706">
        <f>HYPERLINK("https://klasma.github.io/Logging_2409/artfynd/A 40098-2020 artfynd.xlsx", "A 40098-2020")</f>
        <v/>
      </c>
      <c r="T706">
        <f>HYPERLINK("https://klasma.github.io/Logging_2409/kartor/A 40098-2020 karta.png", "A 40098-2020")</f>
        <v/>
      </c>
      <c r="V706">
        <f>HYPERLINK("https://klasma.github.io/Logging_2409/klagomål/A 40098-2020 FSC-klagomål.docx", "A 40098-2020")</f>
        <v/>
      </c>
      <c r="W706">
        <f>HYPERLINK("https://klasma.github.io/Logging_2409/klagomålsmail/A 40098-2020 FSC-klagomål mail.docx", "A 40098-2020")</f>
        <v/>
      </c>
      <c r="X706">
        <f>HYPERLINK("https://klasma.github.io/Logging_2409/tillsyn/A 40098-2020 tillsynsbegäran.docx", "A 40098-2020")</f>
        <v/>
      </c>
      <c r="Y706">
        <f>HYPERLINK("https://klasma.github.io/Logging_2409/tillsynsmail/A 40098-2020 tillsynsbegäran mail.docx", "A 40098-2020")</f>
        <v/>
      </c>
      <c r="Z706">
        <f>HYPERLINK("https://klasma.github.io/Logging_2409/fåglar/A 40098-2020 prioriterade fågelarter.docx", "A 40098-2020")</f>
        <v/>
      </c>
    </row>
    <row r="707" ht="15" customHeight="1">
      <c r="A707" t="inlineStr">
        <is>
          <t>A 46682-2020</t>
        </is>
      </c>
      <c r="B707" s="1" t="n">
        <v>44089</v>
      </c>
      <c r="C707" s="1" t="n">
        <v>45788</v>
      </c>
      <c r="D707" t="inlineStr">
        <is>
          <t>VÄSTERBOTTENS LÄN</t>
        </is>
      </c>
      <c r="E707" t="inlineStr">
        <is>
          <t>SKELLEFTEÅ</t>
        </is>
      </c>
      <c r="G707" t="n">
        <v>2.5</v>
      </c>
      <c r="H707" t="n">
        <v>0</v>
      </c>
      <c r="I707" t="n">
        <v>0</v>
      </c>
      <c r="J707" t="n">
        <v>3</v>
      </c>
      <c r="K707" t="n">
        <v>0</v>
      </c>
      <c r="L707" t="n">
        <v>0</v>
      </c>
      <c r="M707" t="n">
        <v>0</v>
      </c>
      <c r="N707" t="n">
        <v>0</v>
      </c>
      <c r="O707" t="n">
        <v>3</v>
      </c>
      <c r="P707" t="n">
        <v>0</v>
      </c>
      <c r="Q707" t="n">
        <v>3</v>
      </c>
      <c r="R707" s="2" t="inlineStr">
        <is>
          <t>Gammelgransskål
Garnlav
Granticka</t>
        </is>
      </c>
      <c r="S707">
        <f>HYPERLINK("https://klasma.github.io/Logging_2482/artfynd/A 46682-2020 artfynd.xlsx", "A 46682-2020")</f>
        <v/>
      </c>
      <c r="T707">
        <f>HYPERLINK("https://klasma.github.io/Logging_2482/kartor/A 46682-2020 karta.png", "A 46682-2020")</f>
        <v/>
      </c>
      <c r="V707">
        <f>HYPERLINK("https://klasma.github.io/Logging_2482/klagomål/A 46682-2020 FSC-klagomål.docx", "A 46682-2020")</f>
        <v/>
      </c>
      <c r="W707">
        <f>HYPERLINK("https://klasma.github.io/Logging_2482/klagomålsmail/A 46682-2020 FSC-klagomål mail.docx", "A 46682-2020")</f>
        <v/>
      </c>
      <c r="X707">
        <f>HYPERLINK("https://klasma.github.io/Logging_2482/tillsyn/A 46682-2020 tillsynsbegäran.docx", "A 46682-2020")</f>
        <v/>
      </c>
      <c r="Y707">
        <f>HYPERLINK("https://klasma.github.io/Logging_2482/tillsynsmail/A 46682-2020 tillsynsbegäran mail.docx", "A 46682-2020")</f>
        <v/>
      </c>
    </row>
    <row r="708" ht="15" customHeight="1">
      <c r="A708" t="inlineStr">
        <is>
          <t>A 51376-2020</t>
        </is>
      </c>
      <c r="B708" s="1" t="n">
        <v>44112</v>
      </c>
      <c r="C708" s="1" t="n">
        <v>45788</v>
      </c>
      <c r="D708" t="inlineStr">
        <is>
          <t>VÄSTERBOTTENS LÄN</t>
        </is>
      </c>
      <c r="E708" t="inlineStr">
        <is>
          <t>DOROTEA</t>
        </is>
      </c>
      <c r="F708" t="inlineStr">
        <is>
          <t>SCA</t>
        </is>
      </c>
      <c r="G708" t="n">
        <v>8</v>
      </c>
      <c r="H708" t="n">
        <v>0</v>
      </c>
      <c r="I708" t="n">
        <v>0</v>
      </c>
      <c r="J708" t="n">
        <v>3</v>
      </c>
      <c r="K708" t="n">
        <v>0</v>
      </c>
      <c r="L708" t="n">
        <v>0</v>
      </c>
      <c r="M708" t="n">
        <v>0</v>
      </c>
      <c r="N708" t="n">
        <v>0</v>
      </c>
      <c r="O708" t="n">
        <v>3</v>
      </c>
      <c r="P708" t="n">
        <v>0</v>
      </c>
      <c r="Q708" t="n">
        <v>3</v>
      </c>
      <c r="R708" s="2" t="inlineStr">
        <is>
          <t>Granticka
Harticka
Knottrig blåslav</t>
        </is>
      </c>
      <c r="S708">
        <f>HYPERLINK("https://klasma.github.io/Logging_2425/artfynd/A 51376-2020 artfynd.xlsx", "A 51376-2020")</f>
        <v/>
      </c>
      <c r="T708">
        <f>HYPERLINK("https://klasma.github.io/Logging_2425/kartor/A 51376-2020 karta.png", "A 51376-2020")</f>
        <v/>
      </c>
      <c r="V708">
        <f>HYPERLINK("https://klasma.github.io/Logging_2425/klagomål/A 51376-2020 FSC-klagomål.docx", "A 51376-2020")</f>
        <v/>
      </c>
      <c r="W708">
        <f>HYPERLINK("https://klasma.github.io/Logging_2425/klagomålsmail/A 51376-2020 FSC-klagomål mail.docx", "A 51376-2020")</f>
        <v/>
      </c>
      <c r="X708">
        <f>HYPERLINK("https://klasma.github.io/Logging_2425/tillsyn/A 51376-2020 tillsynsbegäran.docx", "A 51376-2020")</f>
        <v/>
      </c>
      <c r="Y708">
        <f>HYPERLINK("https://klasma.github.io/Logging_2425/tillsynsmail/A 51376-2020 tillsynsbegäran mail.docx", "A 51376-2020")</f>
        <v/>
      </c>
    </row>
    <row r="709" ht="15" customHeight="1">
      <c r="A709" t="inlineStr">
        <is>
          <t>A 55616-2020</t>
        </is>
      </c>
      <c r="B709" s="1" t="n">
        <v>44131</v>
      </c>
      <c r="C709" s="1" t="n">
        <v>45788</v>
      </c>
      <c r="D709" t="inlineStr">
        <is>
          <t>VÄSTERBOTTENS LÄN</t>
        </is>
      </c>
      <c r="E709" t="inlineStr">
        <is>
          <t>VINDELN</t>
        </is>
      </c>
      <c r="F709" t="inlineStr">
        <is>
          <t>Sveaskog</t>
        </is>
      </c>
      <c r="G709" t="n">
        <v>4.8</v>
      </c>
      <c r="H709" t="n">
        <v>0</v>
      </c>
      <c r="I709" t="n">
        <v>0</v>
      </c>
      <c r="J709" t="n">
        <v>3</v>
      </c>
      <c r="K709" t="n">
        <v>0</v>
      </c>
      <c r="L709" t="n">
        <v>0</v>
      </c>
      <c r="M709" t="n">
        <v>0</v>
      </c>
      <c r="N709" t="n">
        <v>0</v>
      </c>
      <c r="O709" t="n">
        <v>3</v>
      </c>
      <c r="P709" t="n">
        <v>0</v>
      </c>
      <c r="Q709" t="n">
        <v>3</v>
      </c>
      <c r="R709" s="2" t="inlineStr">
        <is>
          <t>Garnlav
Granticka
Violettgrå tagellav</t>
        </is>
      </c>
      <c r="S709">
        <f>HYPERLINK("https://klasma.github.io/Logging_2404/artfynd/A 55616-2020 artfynd.xlsx", "A 55616-2020")</f>
        <v/>
      </c>
      <c r="T709">
        <f>HYPERLINK("https://klasma.github.io/Logging_2404/kartor/A 55616-2020 karta.png", "A 55616-2020")</f>
        <v/>
      </c>
      <c r="V709">
        <f>HYPERLINK("https://klasma.github.io/Logging_2404/klagomål/A 55616-2020 FSC-klagomål.docx", "A 55616-2020")</f>
        <v/>
      </c>
      <c r="W709">
        <f>HYPERLINK("https://klasma.github.io/Logging_2404/klagomålsmail/A 55616-2020 FSC-klagomål mail.docx", "A 55616-2020")</f>
        <v/>
      </c>
      <c r="X709">
        <f>HYPERLINK("https://klasma.github.io/Logging_2404/tillsyn/A 55616-2020 tillsynsbegäran.docx", "A 55616-2020")</f>
        <v/>
      </c>
      <c r="Y709">
        <f>HYPERLINK("https://klasma.github.io/Logging_2404/tillsynsmail/A 55616-2020 tillsynsbegäran mail.docx", "A 55616-2020")</f>
        <v/>
      </c>
    </row>
    <row r="710" ht="15" customHeight="1">
      <c r="A710" t="inlineStr">
        <is>
          <t>A 63164-2020</t>
        </is>
      </c>
      <c r="B710" s="1" t="n">
        <v>44162</v>
      </c>
      <c r="C710" s="1" t="n">
        <v>45788</v>
      </c>
      <c r="D710" t="inlineStr">
        <is>
          <t>VÄSTERBOTTENS LÄN</t>
        </is>
      </c>
      <c r="E710" t="inlineStr">
        <is>
          <t>VILHELMINA</t>
        </is>
      </c>
      <c r="F710" t="inlineStr">
        <is>
          <t>SCA</t>
        </is>
      </c>
      <c r="G710" t="n">
        <v>5.9</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HYPERLINK("https://klasma.github.io/Logging_2462/artfynd/A 63164-2020 artfynd.xlsx",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HYPERLINK("https://klasma.github.io/Logging_2462/klagomålsmail/A 63164-2020 FSC-klagomål mail.docx", "A 63164-2020")</f>
        <v/>
      </c>
      <c r="X710">
        <f>HYPERLINK("https://klasma.github.io/Logging_2462/tillsyn/A 63164-2020 tillsynsbegäran.docx", "A 63164-2020")</f>
        <v/>
      </c>
      <c r="Y710">
        <f>HYPERLINK("https://klasma.github.io/Logging_2462/tillsynsmail/A 63164-2020 tillsynsbegäran mail.docx", "A 63164-2020")</f>
        <v/>
      </c>
      <c r="Z710">
        <f>HYPERLINK("https://klasma.github.io/Logging_2462/fåglar/A 63164-2020 prioriterade fågelarter.docx", "A 63164-2020")</f>
        <v/>
      </c>
    </row>
    <row r="711" ht="15" customHeight="1">
      <c r="A711" t="inlineStr">
        <is>
          <t>A 68690-2020</t>
        </is>
      </c>
      <c r="B711" s="1" t="n">
        <v>44186</v>
      </c>
      <c r="C711" s="1" t="n">
        <v>45788</v>
      </c>
      <c r="D711" t="inlineStr">
        <is>
          <t>VÄSTERBOTTENS LÄN</t>
        </is>
      </c>
      <c r="E711" t="inlineStr">
        <is>
          <t>SKELLEFTEÅ</t>
        </is>
      </c>
      <c r="G711" t="n">
        <v>6.1</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68690-2020 artfynd.xlsx", "A 68690-2020")</f>
        <v/>
      </c>
      <c r="T711">
        <f>HYPERLINK("https://klasma.github.io/Logging_2482/kartor/A 68690-2020 karta.png", "A 68690-2020")</f>
        <v/>
      </c>
      <c r="V711">
        <f>HYPERLINK("https://klasma.github.io/Logging_2482/klagomål/A 68690-2020 FSC-klagomål.docx", "A 68690-2020")</f>
        <v/>
      </c>
      <c r="W711">
        <f>HYPERLINK("https://klasma.github.io/Logging_2482/klagomålsmail/A 68690-2020 FSC-klagomål mail.docx", "A 68690-2020")</f>
        <v/>
      </c>
      <c r="X711">
        <f>HYPERLINK("https://klasma.github.io/Logging_2482/tillsyn/A 68690-2020 tillsynsbegäran.docx", "A 68690-2020")</f>
        <v/>
      </c>
      <c r="Y711">
        <f>HYPERLINK("https://klasma.github.io/Logging_2482/tillsynsmail/A 68690-2020 tillsynsbegäran mail.docx", "A 68690-2020")</f>
        <v/>
      </c>
    </row>
    <row r="712" ht="15" customHeight="1">
      <c r="A712" t="inlineStr">
        <is>
          <t>A 21287-2021</t>
        </is>
      </c>
      <c r="B712" s="1" t="n">
        <v>44320</v>
      </c>
      <c r="C712" s="1" t="n">
        <v>45788</v>
      </c>
      <c r="D712" t="inlineStr">
        <is>
          <t>VÄSTERBOTTENS LÄN</t>
        </is>
      </c>
      <c r="E712" t="inlineStr">
        <is>
          <t>UMEÅ</t>
        </is>
      </c>
      <c r="G712" t="n">
        <v>2.9</v>
      </c>
      <c r="H712" t="n">
        <v>2</v>
      </c>
      <c r="I712" t="n">
        <v>0</v>
      </c>
      <c r="J712" t="n">
        <v>3</v>
      </c>
      <c r="K712" t="n">
        <v>0</v>
      </c>
      <c r="L712" t="n">
        <v>0</v>
      </c>
      <c r="M712" t="n">
        <v>0</v>
      </c>
      <c r="N712" t="n">
        <v>0</v>
      </c>
      <c r="O712" t="n">
        <v>3</v>
      </c>
      <c r="P712" t="n">
        <v>0</v>
      </c>
      <c r="Q712" t="n">
        <v>3</v>
      </c>
      <c r="R712" s="2" t="inlineStr">
        <is>
          <t>Brunlångöra
Nordfladdermus
Violmussling</t>
        </is>
      </c>
      <c r="S712">
        <f>HYPERLINK("https://klasma.github.io/Logging_2480/artfynd/A 21287-2021 artfynd.xlsx", "A 21287-2021")</f>
        <v/>
      </c>
      <c r="T712">
        <f>HYPERLINK("https://klasma.github.io/Logging_2480/kartor/A 21287-2021 karta.png", "A 21287-2021")</f>
        <v/>
      </c>
      <c r="V712">
        <f>HYPERLINK("https://klasma.github.io/Logging_2480/klagomål/A 21287-2021 FSC-klagomål.docx", "A 21287-2021")</f>
        <v/>
      </c>
      <c r="W712">
        <f>HYPERLINK("https://klasma.github.io/Logging_2480/klagomålsmail/A 21287-2021 FSC-klagomål mail.docx", "A 21287-2021")</f>
        <v/>
      </c>
      <c r="X712">
        <f>HYPERLINK("https://klasma.github.io/Logging_2480/tillsyn/A 21287-2021 tillsynsbegäran.docx", "A 21287-2021")</f>
        <v/>
      </c>
      <c r="Y712">
        <f>HYPERLINK("https://klasma.github.io/Logging_2480/tillsynsmail/A 21287-2021 tillsynsbegäran mail.docx", "A 21287-2021")</f>
        <v/>
      </c>
    </row>
    <row r="713" ht="15" customHeight="1">
      <c r="A713" t="inlineStr">
        <is>
          <t>A 29725-2021</t>
        </is>
      </c>
      <c r="B713" s="1" t="n">
        <v>44362</v>
      </c>
      <c r="C713" s="1" t="n">
        <v>45788</v>
      </c>
      <c r="D713" t="inlineStr">
        <is>
          <t>VÄSTERBOTTENS LÄN</t>
        </is>
      </c>
      <c r="E713" t="inlineStr">
        <is>
          <t>SKELLEFTEÅ</t>
        </is>
      </c>
      <c r="F713" t="inlineStr">
        <is>
          <t>Holmen skog AB</t>
        </is>
      </c>
      <c r="G713" t="n">
        <v>10.7</v>
      </c>
      <c r="H713" t="n">
        <v>1</v>
      </c>
      <c r="I713" t="n">
        <v>0</v>
      </c>
      <c r="J713" t="n">
        <v>2</v>
      </c>
      <c r="K713" t="n">
        <v>0</v>
      </c>
      <c r="L713" t="n">
        <v>0</v>
      </c>
      <c r="M713" t="n">
        <v>0</v>
      </c>
      <c r="N713" t="n">
        <v>0</v>
      </c>
      <c r="O713" t="n">
        <v>2</v>
      </c>
      <c r="P713" t="n">
        <v>0</v>
      </c>
      <c r="Q713" t="n">
        <v>3</v>
      </c>
      <c r="R713" s="2" t="inlineStr">
        <is>
          <t>Gammelgransskål
Garnlav
Orre</t>
        </is>
      </c>
      <c r="S713">
        <f>HYPERLINK("https://klasma.github.io/Logging_2482/artfynd/A 29725-2021 artfynd.xlsx", "A 29725-2021")</f>
        <v/>
      </c>
      <c r="T713">
        <f>HYPERLINK("https://klasma.github.io/Logging_2482/kartor/A 29725-2021 karta.png", "A 29725-2021")</f>
        <v/>
      </c>
      <c r="V713">
        <f>HYPERLINK("https://klasma.github.io/Logging_2482/klagomål/A 29725-2021 FSC-klagomål.docx", "A 29725-2021")</f>
        <v/>
      </c>
      <c r="W713">
        <f>HYPERLINK("https://klasma.github.io/Logging_2482/klagomålsmail/A 29725-2021 FSC-klagomål mail.docx", "A 29725-2021")</f>
        <v/>
      </c>
      <c r="X713">
        <f>HYPERLINK("https://klasma.github.io/Logging_2482/tillsyn/A 29725-2021 tillsynsbegäran.docx", "A 29725-2021")</f>
        <v/>
      </c>
      <c r="Y713">
        <f>HYPERLINK("https://klasma.github.io/Logging_2482/tillsynsmail/A 29725-2021 tillsynsbegäran mail.docx", "A 29725-2021")</f>
        <v/>
      </c>
      <c r="Z713">
        <f>HYPERLINK("https://klasma.github.io/Logging_2482/fåglar/A 29725-2021 prioriterade fågelarter.docx", "A 29725-2021")</f>
        <v/>
      </c>
    </row>
    <row r="714" ht="15" customHeight="1">
      <c r="A714" t="inlineStr">
        <is>
          <t>A 32918-2021</t>
        </is>
      </c>
      <c r="B714" s="1" t="n">
        <v>44375</v>
      </c>
      <c r="C714" s="1" t="n">
        <v>45788</v>
      </c>
      <c r="D714" t="inlineStr">
        <is>
          <t>VÄSTERBOTTENS LÄN</t>
        </is>
      </c>
      <c r="E714" t="inlineStr">
        <is>
          <t>SKELLEFTEÅ</t>
        </is>
      </c>
      <c r="F714" t="inlineStr">
        <is>
          <t>SCA</t>
        </is>
      </c>
      <c r="G714" t="n">
        <v>16.7</v>
      </c>
      <c r="H714" t="n">
        <v>0</v>
      </c>
      <c r="I714" t="n">
        <v>1</v>
      </c>
      <c r="J714" t="n">
        <v>2</v>
      </c>
      <c r="K714" t="n">
        <v>0</v>
      </c>
      <c r="L714" t="n">
        <v>0</v>
      </c>
      <c r="M714" t="n">
        <v>0</v>
      </c>
      <c r="N714" t="n">
        <v>0</v>
      </c>
      <c r="O714" t="n">
        <v>2</v>
      </c>
      <c r="P714" t="n">
        <v>0</v>
      </c>
      <c r="Q714" t="n">
        <v>3</v>
      </c>
      <c r="R714" s="2" t="inlineStr">
        <is>
          <t>Blå taggsvamp
Tallticka
Dropptaggsvamp</t>
        </is>
      </c>
      <c r="S714">
        <f>HYPERLINK("https://klasma.github.io/Logging_2482/artfynd/A 32918-2021 artfynd.xlsx", "A 32918-2021")</f>
        <v/>
      </c>
      <c r="T714">
        <f>HYPERLINK("https://klasma.github.io/Logging_2482/kartor/A 32918-2021 karta.png", "A 32918-2021")</f>
        <v/>
      </c>
      <c r="V714">
        <f>HYPERLINK("https://klasma.github.io/Logging_2482/klagomål/A 32918-2021 FSC-klagomål.docx", "A 32918-2021")</f>
        <v/>
      </c>
      <c r="W714">
        <f>HYPERLINK("https://klasma.github.io/Logging_2482/klagomålsmail/A 32918-2021 FSC-klagomål mail.docx", "A 32918-2021")</f>
        <v/>
      </c>
      <c r="X714">
        <f>HYPERLINK("https://klasma.github.io/Logging_2482/tillsyn/A 32918-2021 tillsynsbegäran.docx", "A 32918-2021")</f>
        <v/>
      </c>
      <c r="Y714">
        <f>HYPERLINK("https://klasma.github.io/Logging_2482/tillsynsmail/A 32918-2021 tillsynsbegäran mail.docx", "A 32918-2021")</f>
        <v/>
      </c>
    </row>
    <row r="715" ht="15" customHeight="1">
      <c r="A715" t="inlineStr">
        <is>
          <t>A 34718-2021</t>
        </is>
      </c>
      <c r="B715" s="1" t="n">
        <v>44382</v>
      </c>
      <c r="C715" s="1" t="n">
        <v>45788</v>
      </c>
      <c r="D715" t="inlineStr">
        <is>
          <t>VÄSTERBOTTENS LÄN</t>
        </is>
      </c>
      <c r="E715" t="inlineStr">
        <is>
          <t>VILHELMINA</t>
        </is>
      </c>
      <c r="F715" t="inlineStr">
        <is>
          <t>Allmännings- och besparingsskogar</t>
        </is>
      </c>
      <c r="G715" t="n">
        <v>8</v>
      </c>
      <c r="H715" t="n">
        <v>0</v>
      </c>
      <c r="I715" t="n">
        <v>0</v>
      </c>
      <c r="J715" t="n">
        <v>3</v>
      </c>
      <c r="K715" t="n">
        <v>0</v>
      </c>
      <c r="L715" t="n">
        <v>0</v>
      </c>
      <c r="M715" t="n">
        <v>0</v>
      </c>
      <c r="N715" t="n">
        <v>0</v>
      </c>
      <c r="O715" t="n">
        <v>3</v>
      </c>
      <c r="P715" t="n">
        <v>0</v>
      </c>
      <c r="Q715" t="n">
        <v>3</v>
      </c>
      <c r="R715" s="2" t="inlineStr">
        <is>
          <t>Garnlav
Granticka
Gränsticka</t>
        </is>
      </c>
      <c r="S715">
        <f>HYPERLINK("https://klasma.github.io/Logging_2462/artfynd/A 34718-2021 artfynd.xlsx", "A 34718-2021")</f>
        <v/>
      </c>
      <c r="T715">
        <f>HYPERLINK("https://klasma.github.io/Logging_2462/kartor/A 34718-2021 karta.png", "A 34718-2021")</f>
        <v/>
      </c>
      <c r="V715">
        <f>HYPERLINK("https://klasma.github.io/Logging_2462/klagomål/A 34718-2021 FSC-klagomål.docx", "A 34718-2021")</f>
        <v/>
      </c>
      <c r="W715">
        <f>HYPERLINK("https://klasma.github.io/Logging_2462/klagomålsmail/A 34718-2021 FSC-klagomål mail.docx", "A 34718-2021")</f>
        <v/>
      </c>
      <c r="X715">
        <f>HYPERLINK("https://klasma.github.io/Logging_2462/tillsyn/A 34718-2021 tillsynsbegäran.docx", "A 34718-2021")</f>
        <v/>
      </c>
      <c r="Y715">
        <f>HYPERLINK("https://klasma.github.io/Logging_2462/tillsynsmail/A 34718-2021 tillsynsbegäran mail.docx", "A 34718-2021")</f>
        <v/>
      </c>
    </row>
    <row r="716" ht="15" customHeight="1">
      <c r="A716" t="inlineStr">
        <is>
          <t>A 38400-2021</t>
        </is>
      </c>
      <c r="B716" s="1" t="n">
        <v>44406</v>
      </c>
      <c r="C716" s="1" t="n">
        <v>45788</v>
      </c>
      <c r="D716" t="inlineStr">
        <is>
          <t>VÄSTERBOTTENS LÄN</t>
        </is>
      </c>
      <c r="E716" t="inlineStr">
        <is>
          <t>UMEÅ</t>
        </is>
      </c>
      <c r="F716" t="inlineStr">
        <is>
          <t>Kommuner</t>
        </is>
      </c>
      <c r="G716" t="n">
        <v>2.5</v>
      </c>
      <c r="H716" t="n">
        <v>0</v>
      </c>
      <c r="I716" t="n">
        <v>0</v>
      </c>
      <c r="J716" t="n">
        <v>3</v>
      </c>
      <c r="K716" t="n">
        <v>0</v>
      </c>
      <c r="L716" t="n">
        <v>0</v>
      </c>
      <c r="M716" t="n">
        <v>0</v>
      </c>
      <c r="N716" t="n">
        <v>0</v>
      </c>
      <c r="O716" t="n">
        <v>3</v>
      </c>
      <c r="P716" t="n">
        <v>0</v>
      </c>
      <c r="Q716" t="n">
        <v>3</v>
      </c>
      <c r="R716" s="2" t="inlineStr">
        <is>
          <t>Epuraea oblonga
Granticka
Gulbandad brunbagge</t>
        </is>
      </c>
      <c r="S716">
        <f>HYPERLINK("https://klasma.github.io/Logging_2480/artfynd/A 38400-2021 artfynd.xlsx", "A 38400-2021")</f>
        <v/>
      </c>
      <c r="T716">
        <f>HYPERLINK("https://klasma.github.io/Logging_2480/kartor/A 38400-2021 karta.png", "A 38400-2021")</f>
        <v/>
      </c>
      <c r="V716">
        <f>HYPERLINK("https://klasma.github.io/Logging_2480/klagomål/A 38400-2021 FSC-klagomål.docx", "A 38400-2021")</f>
        <v/>
      </c>
      <c r="W716">
        <f>HYPERLINK("https://klasma.github.io/Logging_2480/klagomålsmail/A 38400-2021 FSC-klagomål mail.docx", "A 38400-2021")</f>
        <v/>
      </c>
      <c r="X716">
        <f>HYPERLINK("https://klasma.github.io/Logging_2480/tillsyn/A 38400-2021 tillsynsbegäran.docx", "A 38400-2021")</f>
        <v/>
      </c>
      <c r="Y716">
        <f>HYPERLINK("https://klasma.github.io/Logging_2480/tillsynsmail/A 38400-2021 tillsynsbegäran mail.docx", "A 38400-2021")</f>
        <v/>
      </c>
    </row>
    <row r="717" ht="15" customHeight="1">
      <c r="A717" t="inlineStr">
        <is>
          <t>A 40209-2021</t>
        </is>
      </c>
      <c r="B717" s="1" t="n">
        <v>44418</v>
      </c>
      <c r="C717" s="1" t="n">
        <v>45788</v>
      </c>
      <c r="D717" t="inlineStr">
        <is>
          <t>VÄSTERBOTTENS LÄN</t>
        </is>
      </c>
      <c r="E717" t="inlineStr">
        <is>
          <t>ÅSELE</t>
        </is>
      </c>
      <c r="G717" t="n">
        <v>13.3</v>
      </c>
      <c r="H717" t="n">
        <v>0</v>
      </c>
      <c r="I717" t="n">
        <v>3</v>
      </c>
      <c r="J717" t="n">
        <v>0</v>
      </c>
      <c r="K717" t="n">
        <v>0</v>
      </c>
      <c r="L717" t="n">
        <v>0</v>
      </c>
      <c r="M717" t="n">
        <v>0</v>
      </c>
      <c r="N717" t="n">
        <v>0</v>
      </c>
      <c r="O717" t="n">
        <v>0</v>
      </c>
      <c r="P717" t="n">
        <v>0</v>
      </c>
      <c r="Q717" t="n">
        <v>3</v>
      </c>
      <c r="R717" s="2" t="inlineStr">
        <is>
          <t>Grovticka
Stor aspticka
Vedticka</t>
        </is>
      </c>
      <c r="S717">
        <f>HYPERLINK("https://klasma.github.io/Logging_2463/artfynd/A 40209-2021 artfynd.xlsx", "A 40209-2021")</f>
        <v/>
      </c>
      <c r="T717">
        <f>HYPERLINK("https://klasma.github.io/Logging_2463/kartor/A 40209-2021 karta.png", "A 40209-2021")</f>
        <v/>
      </c>
      <c r="V717">
        <f>HYPERLINK("https://klasma.github.io/Logging_2463/klagomål/A 40209-2021 FSC-klagomål.docx", "A 40209-2021")</f>
        <v/>
      </c>
      <c r="W717">
        <f>HYPERLINK("https://klasma.github.io/Logging_2463/klagomålsmail/A 40209-2021 FSC-klagomål mail.docx", "A 40209-2021")</f>
        <v/>
      </c>
      <c r="X717">
        <f>HYPERLINK("https://klasma.github.io/Logging_2463/tillsyn/A 40209-2021 tillsynsbegäran.docx", "A 40209-2021")</f>
        <v/>
      </c>
      <c r="Y717">
        <f>HYPERLINK("https://klasma.github.io/Logging_2463/tillsynsmail/A 40209-2021 tillsynsbegäran mail.docx", "A 40209-2021")</f>
        <v/>
      </c>
    </row>
    <row r="718" ht="15" customHeight="1">
      <c r="A718" t="inlineStr">
        <is>
          <t>A 40652-2021</t>
        </is>
      </c>
      <c r="B718" s="1" t="n">
        <v>44420</v>
      </c>
      <c r="C718" s="1" t="n">
        <v>45788</v>
      </c>
      <c r="D718" t="inlineStr">
        <is>
          <t>VÄSTERBOTTENS LÄN</t>
        </is>
      </c>
      <c r="E718" t="inlineStr">
        <is>
          <t>STORUMAN</t>
        </is>
      </c>
      <c r="G718" t="n">
        <v>10</v>
      </c>
      <c r="H718" t="n">
        <v>3</v>
      </c>
      <c r="I718" t="n">
        <v>0</v>
      </c>
      <c r="J718" t="n">
        <v>1</v>
      </c>
      <c r="K718" t="n">
        <v>1</v>
      </c>
      <c r="L718" t="n">
        <v>0</v>
      </c>
      <c r="M718" t="n">
        <v>0</v>
      </c>
      <c r="N718" t="n">
        <v>0</v>
      </c>
      <c r="O718" t="n">
        <v>2</v>
      </c>
      <c r="P718" t="n">
        <v>1</v>
      </c>
      <c r="Q718" t="n">
        <v>3</v>
      </c>
      <c r="R718" s="2" t="inlineStr">
        <is>
          <t>Knärot
Tretåig hackspett
Lavskrika</t>
        </is>
      </c>
      <c r="S718">
        <f>HYPERLINK("https://klasma.github.io/Logging_2421/artfynd/A 40652-2021 artfynd.xlsx", "A 40652-2021")</f>
        <v/>
      </c>
      <c r="T718">
        <f>HYPERLINK("https://klasma.github.io/Logging_2421/kartor/A 40652-2021 karta.png", "A 40652-2021")</f>
        <v/>
      </c>
      <c r="U718">
        <f>HYPERLINK("https://klasma.github.io/Logging_2421/knärot/A 40652-2021 karta knärot.png", "A 40652-2021")</f>
        <v/>
      </c>
      <c r="V718">
        <f>HYPERLINK("https://klasma.github.io/Logging_2421/klagomål/A 40652-2021 FSC-klagomål.docx", "A 40652-2021")</f>
        <v/>
      </c>
      <c r="W718">
        <f>HYPERLINK("https://klasma.github.io/Logging_2421/klagomålsmail/A 40652-2021 FSC-klagomål mail.docx", "A 40652-2021")</f>
        <v/>
      </c>
      <c r="X718">
        <f>HYPERLINK("https://klasma.github.io/Logging_2421/tillsyn/A 40652-2021 tillsynsbegäran.docx", "A 40652-2021")</f>
        <v/>
      </c>
      <c r="Y718">
        <f>HYPERLINK("https://klasma.github.io/Logging_2421/tillsynsmail/A 40652-2021 tillsynsbegäran mail.docx", "A 40652-2021")</f>
        <v/>
      </c>
      <c r="Z718">
        <f>HYPERLINK("https://klasma.github.io/Logging_2421/fåglar/A 40652-2021 prioriterade fågelarter.docx", "A 40652-2021")</f>
        <v/>
      </c>
    </row>
    <row r="719" ht="15" customHeight="1">
      <c r="A719" t="inlineStr">
        <is>
          <t>A 40687-2021</t>
        </is>
      </c>
      <c r="B719" s="1" t="n">
        <v>44420</v>
      </c>
      <c r="C719" s="1" t="n">
        <v>45788</v>
      </c>
      <c r="D719" t="inlineStr">
        <is>
          <t>VÄSTERBOTTENS LÄN</t>
        </is>
      </c>
      <c r="E719" t="inlineStr">
        <is>
          <t>VILHELMINA</t>
        </is>
      </c>
      <c r="G719" t="n">
        <v>5.4</v>
      </c>
      <c r="H719" t="n">
        <v>1</v>
      </c>
      <c r="I719" t="n">
        <v>1</v>
      </c>
      <c r="J719" t="n">
        <v>2</v>
      </c>
      <c r="K719" t="n">
        <v>0</v>
      </c>
      <c r="L719" t="n">
        <v>0</v>
      </c>
      <c r="M719" t="n">
        <v>0</v>
      </c>
      <c r="N719" t="n">
        <v>0</v>
      </c>
      <c r="O719" t="n">
        <v>2</v>
      </c>
      <c r="P719" t="n">
        <v>0</v>
      </c>
      <c r="Q719" t="n">
        <v>3</v>
      </c>
      <c r="R719" s="2" t="inlineStr">
        <is>
          <t>Garnlav
Granticka
Spindelblomster</t>
        </is>
      </c>
      <c r="S719">
        <f>HYPERLINK("https://klasma.github.io/Logging_2462/artfynd/A 40687-2021 artfynd.xlsx", "A 40687-2021")</f>
        <v/>
      </c>
      <c r="T719">
        <f>HYPERLINK("https://klasma.github.io/Logging_2462/kartor/A 40687-2021 karta.png", "A 40687-2021")</f>
        <v/>
      </c>
      <c r="V719">
        <f>HYPERLINK("https://klasma.github.io/Logging_2462/klagomål/A 40687-2021 FSC-klagomål.docx", "A 40687-2021")</f>
        <v/>
      </c>
      <c r="W719">
        <f>HYPERLINK("https://klasma.github.io/Logging_2462/klagomålsmail/A 40687-2021 FSC-klagomål mail.docx", "A 40687-2021")</f>
        <v/>
      </c>
      <c r="X719">
        <f>HYPERLINK("https://klasma.github.io/Logging_2462/tillsyn/A 40687-2021 tillsynsbegäran.docx", "A 40687-2021")</f>
        <v/>
      </c>
      <c r="Y719">
        <f>HYPERLINK("https://klasma.github.io/Logging_2462/tillsynsmail/A 40687-2021 tillsynsbegäran mail.docx", "A 40687-2021")</f>
        <v/>
      </c>
    </row>
    <row r="720" ht="15" customHeight="1">
      <c r="A720" t="inlineStr">
        <is>
          <t>A 41508-2021</t>
        </is>
      </c>
      <c r="B720" s="1" t="n">
        <v>44424</v>
      </c>
      <c r="C720" s="1" t="n">
        <v>45788</v>
      </c>
      <c r="D720" t="inlineStr">
        <is>
          <t>VÄSTERBOTTENS LÄN</t>
        </is>
      </c>
      <c r="E720" t="inlineStr">
        <is>
          <t>SKELLEFTEÅ</t>
        </is>
      </c>
      <c r="F720" t="inlineStr">
        <is>
          <t>SCA</t>
        </is>
      </c>
      <c r="G720" t="n">
        <v>9.800000000000001</v>
      </c>
      <c r="H720" t="n">
        <v>0</v>
      </c>
      <c r="I720" t="n">
        <v>1</v>
      </c>
      <c r="J720" t="n">
        <v>2</v>
      </c>
      <c r="K720" t="n">
        <v>0</v>
      </c>
      <c r="L720" t="n">
        <v>0</v>
      </c>
      <c r="M720" t="n">
        <v>0</v>
      </c>
      <c r="N720" t="n">
        <v>0</v>
      </c>
      <c r="O720" t="n">
        <v>2</v>
      </c>
      <c r="P720" t="n">
        <v>0</v>
      </c>
      <c r="Q720" t="n">
        <v>3</v>
      </c>
      <c r="R720" s="2" t="inlineStr">
        <is>
          <t>Motaggsvamp
Orange taggsvamp
Dropptaggsvamp</t>
        </is>
      </c>
      <c r="S720">
        <f>HYPERLINK("https://klasma.github.io/Logging_2482/artfynd/A 41508-2021 artfynd.xlsx", "A 41508-2021")</f>
        <v/>
      </c>
      <c r="T720">
        <f>HYPERLINK("https://klasma.github.io/Logging_2482/kartor/A 41508-2021 karta.png", "A 41508-2021")</f>
        <v/>
      </c>
      <c r="V720">
        <f>HYPERLINK("https://klasma.github.io/Logging_2482/klagomål/A 41508-2021 FSC-klagomål.docx", "A 41508-2021")</f>
        <v/>
      </c>
      <c r="W720">
        <f>HYPERLINK("https://klasma.github.io/Logging_2482/klagomålsmail/A 41508-2021 FSC-klagomål mail.docx", "A 41508-2021")</f>
        <v/>
      </c>
      <c r="X720">
        <f>HYPERLINK("https://klasma.github.io/Logging_2482/tillsyn/A 41508-2021 tillsynsbegäran.docx", "A 41508-2021")</f>
        <v/>
      </c>
      <c r="Y720">
        <f>HYPERLINK("https://klasma.github.io/Logging_2482/tillsynsmail/A 41508-2021 tillsynsbegäran mail.docx", "A 41508-2021")</f>
        <v/>
      </c>
    </row>
    <row r="721" ht="15" customHeight="1">
      <c r="A721" t="inlineStr">
        <is>
          <t>A 41506-2021</t>
        </is>
      </c>
      <c r="B721" s="1" t="n">
        <v>44425</v>
      </c>
      <c r="C721" s="1" t="n">
        <v>45788</v>
      </c>
      <c r="D721" t="inlineStr">
        <is>
          <t>VÄSTERBOTTENS LÄN</t>
        </is>
      </c>
      <c r="E721" t="inlineStr">
        <is>
          <t>SKELLEFTEÅ</t>
        </is>
      </c>
      <c r="F721" t="inlineStr">
        <is>
          <t>SCA</t>
        </is>
      </c>
      <c r="G721" t="n">
        <v>4.2</v>
      </c>
      <c r="H721" t="n">
        <v>0</v>
      </c>
      <c r="I721" t="n">
        <v>1</v>
      </c>
      <c r="J721" t="n">
        <v>2</v>
      </c>
      <c r="K721" t="n">
        <v>0</v>
      </c>
      <c r="L721" t="n">
        <v>0</v>
      </c>
      <c r="M721" t="n">
        <v>0</v>
      </c>
      <c r="N721" t="n">
        <v>0</v>
      </c>
      <c r="O721" t="n">
        <v>2</v>
      </c>
      <c r="P721" t="n">
        <v>0</v>
      </c>
      <c r="Q721" t="n">
        <v>3</v>
      </c>
      <c r="R721" s="2" t="inlineStr">
        <is>
          <t>Rosenticka
Ullticka
Vedticka</t>
        </is>
      </c>
      <c r="S721">
        <f>HYPERLINK("https://klasma.github.io/Logging_2482/artfynd/A 41506-2021 artfynd.xlsx", "A 41506-2021")</f>
        <v/>
      </c>
      <c r="T721">
        <f>HYPERLINK("https://klasma.github.io/Logging_2482/kartor/A 41506-2021 karta.png", "A 41506-2021")</f>
        <v/>
      </c>
      <c r="V721">
        <f>HYPERLINK("https://klasma.github.io/Logging_2482/klagomål/A 41506-2021 FSC-klagomål.docx", "A 41506-2021")</f>
        <v/>
      </c>
      <c r="W721">
        <f>HYPERLINK("https://klasma.github.io/Logging_2482/klagomålsmail/A 41506-2021 FSC-klagomål mail.docx", "A 41506-2021")</f>
        <v/>
      </c>
      <c r="X721">
        <f>HYPERLINK("https://klasma.github.io/Logging_2482/tillsyn/A 41506-2021 tillsynsbegäran.docx", "A 41506-2021")</f>
        <v/>
      </c>
      <c r="Y721">
        <f>HYPERLINK("https://klasma.github.io/Logging_2482/tillsynsmail/A 41506-2021 tillsynsbegäran mail.docx", "A 41506-2021")</f>
        <v/>
      </c>
    </row>
    <row r="722" ht="15" customHeight="1">
      <c r="A722" t="inlineStr">
        <is>
          <t>A 43272-2021</t>
        </is>
      </c>
      <c r="B722" s="1" t="n">
        <v>44432</v>
      </c>
      <c r="C722" s="1" t="n">
        <v>45788</v>
      </c>
      <c r="D722" t="inlineStr">
        <is>
          <t>VÄSTERBOTTENS LÄN</t>
        </is>
      </c>
      <c r="E722" t="inlineStr">
        <is>
          <t>SORSELE</t>
        </is>
      </c>
      <c r="G722" t="n">
        <v>24.4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HYPERLINK("https://klasma.github.io/Logging_2422/artfynd/A 43272-2021 artfynd.xlsx", "A 43272-2021")</f>
        <v/>
      </c>
      <c r="T722">
        <f>HYPERLINK("https://klasma.github.io/Logging_2422/kartor/A 43272-2021 karta.png", "A 43272-2021")</f>
        <v/>
      </c>
      <c r="V722">
        <f>HYPERLINK("https://klasma.github.io/Logging_2422/klagomål/A 43272-2021 FSC-klagomål.docx", "A 43272-2021")</f>
        <v/>
      </c>
      <c r="W722">
        <f>HYPERLINK("https://klasma.github.io/Logging_2422/klagomålsmail/A 43272-2021 FSC-klagomål mail.docx", "A 43272-2021")</f>
        <v/>
      </c>
      <c r="X722">
        <f>HYPERLINK("https://klasma.github.io/Logging_2422/tillsyn/A 43272-2021 tillsynsbegäran.docx", "A 43272-2021")</f>
        <v/>
      </c>
      <c r="Y722">
        <f>HYPERLINK("https://klasma.github.io/Logging_2422/tillsynsmail/A 43272-2021 tillsynsbegäran mail.docx", "A 43272-2021")</f>
        <v/>
      </c>
      <c r="Z722">
        <f>HYPERLINK("https://klasma.github.io/Logging_2422/fåglar/A 43272-2021 prioriterade fågelarter.docx", "A 43272-2021")</f>
        <v/>
      </c>
    </row>
    <row r="723" ht="15" customHeight="1">
      <c r="A723" t="inlineStr">
        <is>
          <t>A 47498-2021</t>
        </is>
      </c>
      <c r="B723" s="1" t="n">
        <v>44447</v>
      </c>
      <c r="C723" s="1" t="n">
        <v>45788</v>
      </c>
      <c r="D723" t="inlineStr">
        <is>
          <t>VÄSTERBOTTENS LÄN</t>
        </is>
      </c>
      <c r="E723" t="inlineStr">
        <is>
          <t>LYCKSELE</t>
        </is>
      </c>
      <c r="F723" t="inlineStr">
        <is>
          <t>Sveaskog</t>
        </is>
      </c>
      <c r="G723" t="n">
        <v>4.6</v>
      </c>
      <c r="H723" t="n">
        <v>1</v>
      </c>
      <c r="I723" t="n">
        <v>2</v>
      </c>
      <c r="J723" t="n">
        <v>0</v>
      </c>
      <c r="K723" t="n">
        <v>1</v>
      </c>
      <c r="L723" t="n">
        <v>0</v>
      </c>
      <c r="M723" t="n">
        <v>0</v>
      </c>
      <c r="N723" t="n">
        <v>0</v>
      </c>
      <c r="O723" t="n">
        <v>1</v>
      </c>
      <c r="P723" t="n">
        <v>1</v>
      </c>
      <c r="Q723" t="n">
        <v>3</v>
      </c>
      <c r="R723" s="2" t="inlineStr">
        <is>
          <t>Doftticka
Skinnlav
Stuplav</t>
        </is>
      </c>
      <c r="S723">
        <f>HYPERLINK("https://klasma.github.io/Logging_2481/artfynd/A 47498-2021 artfynd.xlsx", "A 47498-2021")</f>
        <v/>
      </c>
      <c r="T723">
        <f>HYPERLINK("https://klasma.github.io/Logging_2481/kartor/A 47498-2021 karta.png", "A 47498-2021")</f>
        <v/>
      </c>
      <c r="V723">
        <f>HYPERLINK("https://klasma.github.io/Logging_2481/klagomål/A 47498-2021 FSC-klagomål.docx", "A 47498-2021")</f>
        <v/>
      </c>
      <c r="W723">
        <f>HYPERLINK("https://klasma.github.io/Logging_2481/klagomålsmail/A 47498-2021 FSC-klagomål mail.docx", "A 47498-2021")</f>
        <v/>
      </c>
      <c r="X723">
        <f>HYPERLINK("https://klasma.github.io/Logging_2481/tillsyn/A 47498-2021 tillsynsbegäran.docx", "A 47498-2021")</f>
        <v/>
      </c>
      <c r="Y723">
        <f>HYPERLINK("https://klasma.github.io/Logging_2481/tillsynsmail/A 47498-2021 tillsynsbegäran mail.docx", "A 47498-2021")</f>
        <v/>
      </c>
    </row>
    <row r="724" ht="15" customHeight="1">
      <c r="A724" t="inlineStr">
        <is>
          <t>A 51644-2021</t>
        </is>
      </c>
      <c r="B724" s="1" t="n">
        <v>44462</v>
      </c>
      <c r="C724" s="1" t="n">
        <v>45788</v>
      </c>
      <c r="D724" t="inlineStr">
        <is>
          <t>VÄSTERBOTTENS LÄN</t>
        </is>
      </c>
      <c r="E724" t="inlineStr">
        <is>
          <t>NORSJÖ</t>
        </is>
      </c>
      <c r="F724" t="inlineStr">
        <is>
          <t>Sveaskog</t>
        </is>
      </c>
      <c r="G724" t="n">
        <v>11.9</v>
      </c>
      <c r="H724" t="n">
        <v>0</v>
      </c>
      <c r="I724" t="n">
        <v>2</v>
      </c>
      <c r="J724" t="n">
        <v>1</v>
      </c>
      <c r="K724" t="n">
        <v>0</v>
      </c>
      <c r="L724" t="n">
        <v>0</v>
      </c>
      <c r="M724" t="n">
        <v>0</v>
      </c>
      <c r="N724" t="n">
        <v>0</v>
      </c>
      <c r="O724" t="n">
        <v>1</v>
      </c>
      <c r="P724" t="n">
        <v>0</v>
      </c>
      <c r="Q724" t="n">
        <v>3</v>
      </c>
      <c r="R724" s="2" t="inlineStr">
        <is>
          <t>Garnlav
Bårdlav
Stuplav</t>
        </is>
      </c>
      <c r="S724">
        <f>HYPERLINK("https://klasma.github.io/Logging_2417/artfynd/A 51644-2021 artfynd.xlsx", "A 51644-2021")</f>
        <v/>
      </c>
      <c r="T724">
        <f>HYPERLINK("https://klasma.github.io/Logging_2417/kartor/A 51644-2021 karta.png", "A 51644-2021")</f>
        <v/>
      </c>
      <c r="V724">
        <f>HYPERLINK("https://klasma.github.io/Logging_2417/klagomål/A 51644-2021 FSC-klagomål.docx", "A 51644-2021")</f>
        <v/>
      </c>
      <c r="W724">
        <f>HYPERLINK("https://klasma.github.io/Logging_2417/klagomålsmail/A 51644-2021 FSC-klagomål mail.docx", "A 51644-2021")</f>
        <v/>
      </c>
      <c r="X724">
        <f>HYPERLINK("https://klasma.github.io/Logging_2417/tillsyn/A 51644-2021 tillsynsbegäran.docx", "A 51644-2021")</f>
        <v/>
      </c>
      <c r="Y724">
        <f>HYPERLINK("https://klasma.github.io/Logging_2417/tillsynsmail/A 51644-2021 tillsynsbegäran mail.docx", "A 51644-2021")</f>
        <v/>
      </c>
    </row>
    <row r="725" ht="15" customHeight="1">
      <c r="A725" t="inlineStr">
        <is>
          <t>A 61172-2021</t>
        </is>
      </c>
      <c r="B725" s="1" t="n">
        <v>44498</v>
      </c>
      <c r="C725" s="1" t="n">
        <v>45788</v>
      </c>
      <c r="D725" t="inlineStr">
        <is>
          <t>VÄSTERBOTTENS LÄN</t>
        </is>
      </c>
      <c r="E725" t="inlineStr">
        <is>
          <t>LYCKSELE</t>
        </is>
      </c>
      <c r="F725" t="inlineStr">
        <is>
          <t>Sveaskog</t>
        </is>
      </c>
      <c r="G725" t="n">
        <v>1.8</v>
      </c>
      <c r="H725" t="n">
        <v>0</v>
      </c>
      <c r="I725" t="n">
        <v>0</v>
      </c>
      <c r="J725" t="n">
        <v>2</v>
      </c>
      <c r="K725" t="n">
        <v>1</v>
      </c>
      <c r="L725" t="n">
        <v>0</v>
      </c>
      <c r="M725" t="n">
        <v>0</v>
      </c>
      <c r="N725" t="n">
        <v>0</v>
      </c>
      <c r="O725" t="n">
        <v>3</v>
      </c>
      <c r="P725" t="n">
        <v>1</v>
      </c>
      <c r="Q725" t="n">
        <v>3</v>
      </c>
      <c r="R725" s="2" t="inlineStr">
        <is>
          <t>Jättemusseron
Kolflarnlav
Nordtagging</t>
        </is>
      </c>
      <c r="S725">
        <f>HYPERLINK("https://klasma.github.io/Logging_2481/artfynd/A 61172-2021 artfynd.xlsx", "A 61172-2021")</f>
        <v/>
      </c>
      <c r="T725">
        <f>HYPERLINK("https://klasma.github.io/Logging_2481/kartor/A 61172-2021 karta.png", "A 61172-2021")</f>
        <v/>
      </c>
      <c r="V725">
        <f>HYPERLINK("https://klasma.github.io/Logging_2481/klagomål/A 61172-2021 FSC-klagomål.docx", "A 61172-2021")</f>
        <v/>
      </c>
      <c r="W725">
        <f>HYPERLINK("https://klasma.github.io/Logging_2481/klagomålsmail/A 61172-2021 FSC-klagomål mail.docx", "A 61172-2021")</f>
        <v/>
      </c>
      <c r="X725">
        <f>HYPERLINK("https://klasma.github.io/Logging_2481/tillsyn/A 61172-2021 tillsynsbegäran.docx", "A 61172-2021")</f>
        <v/>
      </c>
      <c r="Y725">
        <f>HYPERLINK("https://klasma.github.io/Logging_2481/tillsynsmail/A 61172-2021 tillsynsbegäran mail.docx", "A 61172-2021")</f>
        <v/>
      </c>
    </row>
    <row r="726" ht="15" customHeight="1">
      <c r="A726" t="inlineStr">
        <is>
          <t>A 61747-2021</t>
        </is>
      </c>
      <c r="B726" s="1" t="n">
        <v>44501</v>
      </c>
      <c r="C726" s="1" t="n">
        <v>45788</v>
      </c>
      <c r="D726" t="inlineStr">
        <is>
          <t>VÄSTERBOTTENS LÄN</t>
        </is>
      </c>
      <c r="E726" t="inlineStr">
        <is>
          <t>LYCKSELE</t>
        </is>
      </c>
      <c r="F726" t="inlineStr">
        <is>
          <t>Sveaskog</t>
        </is>
      </c>
      <c r="G726" t="n">
        <v>15.1</v>
      </c>
      <c r="H726" t="n">
        <v>0</v>
      </c>
      <c r="I726" t="n">
        <v>2</v>
      </c>
      <c r="J726" t="n">
        <v>1</v>
      </c>
      <c r="K726" t="n">
        <v>0</v>
      </c>
      <c r="L726" t="n">
        <v>0</v>
      </c>
      <c r="M726" t="n">
        <v>0</v>
      </c>
      <c r="N726" t="n">
        <v>0</v>
      </c>
      <c r="O726" t="n">
        <v>1</v>
      </c>
      <c r="P726" t="n">
        <v>0</v>
      </c>
      <c r="Q726" t="n">
        <v>3</v>
      </c>
      <c r="R726" s="2" t="inlineStr">
        <is>
          <t>Vaddporing
Dropptaggsvamp
Fjällig taggsvamp s.str.</t>
        </is>
      </c>
      <c r="S726">
        <f>HYPERLINK("https://klasma.github.io/Logging_2481/artfynd/A 61747-2021 artfynd.xlsx", "A 61747-2021")</f>
        <v/>
      </c>
      <c r="T726">
        <f>HYPERLINK("https://klasma.github.io/Logging_2481/kartor/A 61747-2021 karta.png", "A 61747-2021")</f>
        <v/>
      </c>
      <c r="V726">
        <f>HYPERLINK("https://klasma.github.io/Logging_2481/klagomål/A 61747-2021 FSC-klagomål.docx", "A 61747-2021")</f>
        <v/>
      </c>
      <c r="W726">
        <f>HYPERLINK("https://klasma.github.io/Logging_2481/klagomålsmail/A 61747-2021 FSC-klagomål mail.docx", "A 61747-2021")</f>
        <v/>
      </c>
      <c r="X726">
        <f>HYPERLINK("https://klasma.github.io/Logging_2481/tillsyn/A 61747-2021 tillsynsbegäran.docx", "A 61747-2021")</f>
        <v/>
      </c>
      <c r="Y726">
        <f>HYPERLINK("https://klasma.github.io/Logging_2481/tillsynsmail/A 61747-2021 tillsynsbegäran mail.docx", "A 61747-2021")</f>
        <v/>
      </c>
    </row>
    <row r="727" ht="15" customHeight="1">
      <c r="A727" t="inlineStr">
        <is>
          <t>A 65382-2021</t>
        </is>
      </c>
      <c r="B727" s="1" t="n">
        <v>44515</v>
      </c>
      <c r="C727" s="1" t="n">
        <v>45788</v>
      </c>
      <c r="D727" t="inlineStr">
        <is>
          <t>VÄSTERBOTTENS LÄN</t>
        </is>
      </c>
      <c r="E727" t="inlineStr">
        <is>
          <t>VILHELMINA</t>
        </is>
      </c>
      <c r="G727" t="n">
        <v>10.7</v>
      </c>
      <c r="H727" t="n">
        <v>0</v>
      </c>
      <c r="I727" t="n">
        <v>0</v>
      </c>
      <c r="J727" t="n">
        <v>2</v>
      </c>
      <c r="K727" t="n">
        <v>1</v>
      </c>
      <c r="L727" t="n">
        <v>0</v>
      </c>
      <c r="M727" t="n">
        <v>0</v>
      </c>
      <c r="N727" t="n">
        <v>0</v>
      </c>
      <c r="O727" t="n">
        <v>3</v>
      </c>
      <c r="P727" t="n">
        <v>1</v>
      </c>
      <c r="Q727" t="n">
        <v>3</v>
      </c>
      <c r="R727" s="2" t="inlineStr">
        <is>
          <t>Rynkskinn
Lunglav
Rosenticka</t>
        </is>
      </c>
      <c r="S727">
        <f>HYPERLINK("https://klasma.github.io/Logging_2462/artfynd/A 65382-2021 artfynd.xlsx", "A 65382-2021")</f>
        <v/>
      </c>
      <c r="T727">
        <f>HYPERLINK("https://klasma.github.io/Logging_2462/kartor/A 65382-2021 karta.png", "A 65382-2021")</f>
        <v/>
      </c>
      <c r="V727">
        <f>HYPERLINK("https://klasma.github.io/Logging_2462/klagomål/A 65382-2021 FSC-klagomål.docx", "A 65382-2021")</f>
        <v/>
      </c>
      <c r="W727">
        <f>HYPERLINK("https://klasma.github.io/Logging_2462/klagomålsmail/A 65382-2021 FSC-klagomål mail.docx", "A 65382-2021")</f>
        <v/>
      </c>
      <c r="X727">
        <f>HYPERLINK("https://klasma.github.io/Logging_2462/tillsyn/A 65382-2021 tillsynsbegäran.docx", "A 65382-2021")</f>
        <v/>
      </c>
      <c r="Y727">
        <f>HYPERLINK("https://klasma.github.io/Logging_2462/tillsynsmail/A 65382-2021 tillsynsbegäran mail.docx", "A 65382-2021")</f>
        <v/>
      </c>
    </row>
    <row r="728" ht="15" customHeight="1">
      <c r="A728" t="inlineStr">
        <is>
          <t>A 3412-2022</t>
        </is>
      </c>
      <c r="B728" s="1" t="n">
        <v>44585</v>
      </c>
      <c r="C728" s="1" t="n">
        <v>45788</v>
      </c>
      <c r="D728" t="inlineStr">
        <is>
          <t>VÄSTERBOTTENS LÄN</t>
        </is>
      </c>
      <c r="E728" t="inlineStr">
        <is>
          <t>STORUMAN</t>
        </is>
      </c>
      <c r="G728" t="n">
        <v>0.7</v>
      </c>
      <c r="H728" t="n">
        <v>2</v>
      </c>
      <c r="I728" t="n">
        <v>1</v>
      </c>
      <c r="J728" t="n">
        <v>1</v>
      </c>
      <c r="K728" t="n">
        <v>0</v>
      </c>
      <c r="L728" t="n">
        <v>0</v>
      </c>
      <c r="M728" t="n">
        <v>0</v>
      </c>
      <c r="N728" t="n">
        <v>0</v>
      </c>
      <c r="O728" t="n">
        <v>1</v>
      </c>
      <c r="P728" t="n">
        <v>0</v>
      </c>
      <c r="Q728" t="n">
        <v>3</v>
      </c>
      <c r="R728" s="2" t="inlineStr">
        <is>
          <t>Garnlav
Spindelblomster
Skogsrör</t>
        </is>
      </c>
      <c r="S728">
        <f>HYPERLINK("https://klasma.github.io/Logging_2421/artfynd/A 3412-2022 artfynd.xlsx", "A 3412-2022")</f>
        <v/>
      </c>
      <c r="T728">
        <f>HYPERLINK("https://klasma.github.io/Logging_2421/kartor/A 3412-2022 karta.png", "A 3412-2022")</f>
        <v/>
      </c>
      <c r="V728">
        <f>HYPERLINK("https://klasma.github.io/Logging_2421/klagomål/A 3412-2022 FSC-klagomål.docx", "A 3412-2022")</f>
        <v/>
      </c>
      <c r="W728">
        <f>HYPERLINK("https://klasma.github.io/Logging_2421/klagomålsmail/A 3412-2022 FSC-klagomål mail.docx", "A 3412-2022")</f>
        <v/>
      </c>
      <c r="X728">
        <f>HYPERLINK("https://klasma.github.io/Logging_2421/tillsyn/A 3412-2022 tillsynsbegäran.docx", "A 3412-2022")</f>
        <v/>
      </c>
      <c r="Y728">
        <f>HYPERLINK("https://klasma.github.io/Logging_2421/tillsynsmail/A 3412-2022 tillsynsbegäran mail.docx", "A 3412-2022")</f>
        <v/>
      </c>
    </row>
    <row r="729" ht="15" customHeight="1">
      <c r="A729" t="inlineStr">
        <is>
          <t>A 4245-2022</t>
        </is>
      </c>
      <c r="B729" s="1" t="n">
        <v>44588</v>
      </c>
      <c r="C729" s="1" t="n">
        <v>45788</v>
      </c>
      <c r="D729" t="inlineStr">
        <is>
          <t>VÄSTERBOTTENS LÄN</t>
        </is>
      </c>
      <c r="E729" t="inlineStr">
        <is>
          <t>SKELLEFTEÅ</t>
        </is>
      </c>
      <c r="G729" t="n">
        <v>0.2</v>
      </c>
      <c r="H729" t="n">
        <v>0</v>
      </c>
      <c r="I729" t="n">
        <v>0</v>
      </c>
      <c r="J729" t="n">
        <v>3</v>
      </c>
      <c r="K729" t="n">
        <v>0</v>
      </c>
      <c r="L729" t="n">
        <v>0</v>
      </c>
      <c r="M729" t="n">
        <v>0</v>
      </c>
      <c r="N729" t="n">
        <v>0</v>
      </c>
      <c r="O729" t="n">
        <v>3</v>
      </c>
      <c r="P729" t="n">
        <v>0</v>
      </c>
      <c r="Q729" t="n">
        <v>3</v>
      </c>
      <c r="R729" s="2" t="inlineStr">
        <is>
          <t>Garnlav
Granticka
Harticka</t>
        </is>
      </c>
      <c r="S729">
        <f>HYPERLINK("https://klasma.github.io/Logging_2482/artfynd/A 4245-2022 artfynd.xlsx", "A 4245-2022")</f>
        <v/>
      </c>
      <c r="T729">
        <f>HYPERLINK("https://klasma.github.io/Logging_2482/kartor/A 4245-2022 karta.png", "A 4245-2022")</f>
        <v/>
      </c>
      <c r="V729">
        <f>HYPERLINK("https://klasma.github.io/Logging_2482/klagomål/A 4245-2022 FSC-klagomål.docx", "A 4245-2022")</f>
        <v/>
      </c>
      <c r="W729">
        <f>HYPERLINK("https://klasma.github.io/Logging_2482/klagomålsmail/A 4245-2022 FSC-klagomål mail.docx", "A 4245-2022")</f>
        <v/>
      </c>
      <c r="X729">
        <f>HYPERLINK("https://klasma.github.io/Logging_2482/tillsyn/A 4245-2022 tillsynsbegäran.docx", "A 4245-2022")</f>
        <v/>
      </c>
      <c r="Y729">
        <f>HYPERLINK("https://klasma.github.io/Logging_2482/tillsynsmail/A 4245-2022 tillsynsbegäran mail.docx", "A 4245-2022")</f>
        <v/>
      </c>
    </row>
    <row r="730" ht="15" customHeight="1">
      <c r="A730" t="inlineStr">
        <is>
          <t>A 9195-2022</t>
        </is>
      </c>
      <c r="B730" s="1" t="n">
        <v>44615</v>
      </c>
      <c r="C730" s="1" t="n">
        <v>45788</v>
      </c>
      <c r="D730" t="inlineStr">
        <is>
          <t>VÄSTERBOTTENS LÄN</t>
        </is>
      </c>
      <c r="E730" t="inlineStr">
        <is>
          <t>UMEÅ</t>
        </is>
      </c>
      <c r="G730" t="n">
        <v>2</v>
      </c>
      <c r="H730" t="n">
        <v>1</v>
      </c>
      <c r="I730" t="n">
        <v>1</v>
      </c>
      <c r="J730" t="n">
        <v>2</v>
      </c>
      <c r="K730" t="n">
        <v>0</v>
      </c>
      <c r="L730" t="n">
        <v>0</v>
      </c>
      <c r="M730" t="n">
        <v>0</v>
      </c>
      <c r="N730" t="n">
        <v>0</v>
      </c>
      <c r="O730" t="n">
        <v>2</v>
      </c>
      <c r="P730" t="n">
        <v>0</v>
      </c>
      <c r="Q730" t="n">
        <v>3</v>
      </c>
      <c r="R730" s="2" t="inlineStr">
        <is>
          <t>Lunglav
Talltita
Skinnlav</t>
        </is>
      </c>
      <c r="S730">
        <f>HYPERLINK("https://klasma.github.io/Logging_2480/artfynd/A 9195-2022 artfynd.xlsx", "A 9195-2022")</f>
        <v/>
      </c>
      <c r="T730">
        <f>HYPERLINK("https://klasma.github.io/Logging_2480/kartor/A 9195-2022 karta.png", "A 9195-2022")</f>
        <v/>
      </c>
      <c r="V730">
        <f>HYPERLINK("https://klasma.github.io/Logging_2480/klagomål/A 9195-2022 FSC-klagomål.docx", "A 9195-2022")</f>
        <v/>
      </c>
      <c r="W730">
        <f>HYPERLINK("https://klasma.github.io/Logging_2480/klagomålsmail/A 9195-2022 FSC-klagomål mail.docx", "A 9195-2022")</f>
        <v/>
      </c>
      <c r="X730">
        <f>HYPERLINK("https://klasma.github.io/Logging_2480/tillsyn/A 9195-2022 tillsynsbegäran.docx", "A 9195-2022")</f>
        <v/>
      </c>
      <c r="Y730">
        <f>HYPERLINK("https://klasma.github.io/Logging_2480/tillsynsmail/A 9195-2022 tillsynsbegäran mail.docx", "A 9195-2022")</f>
        <v/>
      </c>
      <c r="Z730">
        <f>HYPERLINK("https://klasma.github.io/Logging_2480/fåglar/A 9195-2022 prioriterade fågelarter.docx", "A 9195-2022")</f>
        <v/>
      </c>
    </row>
    <row r="731" ht="15" customHeight="1">
      <c r="A731" t="inlineStr">
        <is>
          <t>A 13604-2022</t>
        </is>
      </c>
      <c r="B731" s="1" t="n">
        <v>44648</v>
      </c>
      <c r="C731" s="1" t="n">
        <v>45788</v>
      </c>
      <c r="D731" t="inlineStr">
        <is>
          <t>VÄSTERBOTTENS LÄN</t>
        </is>
      </c>
      <c r="E731" t="inlineStr">
        <is>
          <t>VILHELMINA</t>
        </is>
      </c>
      <c r="G731" t="n">
        <v>17.4</v>
      </c>
      <c r="H731" t="n">
        <v>2</v>
      </c>
      <c r="I731" t="n">
        <v>1</v>
      </c>
      <c r="J731" t="n">
        <v>0</v>
      </c>
      <c r="K731" t="n">
        <v>0</v>
      </c>
      <c r="L731" t="n">
        <v>0</v>
      </c>
      <c r="M731" t="n">
        <v>0</v>
      </c>
      <c r="N731" t="n">
        <v>0</v>
      </c>
      <c r="O731" t="n">
        <v>0</v>
      </c>
      <c r="P731" t="n">
        <v>0</v>
      </c>
      <c r="Q731" t="n">
        <v>3</v>
      </c>
      <c r="R731" s="2" t="inlineStr">
        <is>
          <t>Maskfingersvamp
Hökuggla
Fläcknycklar</t>
        </is>
      </c>
      <c r="S731">
        <f>HYPERLINK("https://klasma.github.io/Logging_2462/artfynd/A 13604-2022 artfynd.xlsx", "A 13604-2022")</f>
        <v/>
      </c>
      <c r="T731">
        <f>HYPERLINK("https://klasma.github.io/Logging_2462/kartor/A 13604-2022 karta.png", "A 13604-2022")</f>
        <v/>
      </c>
      <c r="V731">
        <f>HYPERLINK("https://klasma.github.io/Logging_2462/klagomål/A 13604-2022 FSC-klagomål.docx", "A 13604-2022")</f>
        <v/>
      </c>
      <c r="W731">
        <f>HYPERLINK("https://klasma.github.io/Logging_2462/klagomålsmail/A 13604-2022 FSC-klagomål mail.docx", "A 13604-2022")</f>
        <v/>
      </c>
      <c r="X731">
        <f>HYPERLINK("https://klasma.github.io/Logging_2462/tillsyn/A 13604-2022 tillsynsbegäran.docx", "A 13604-2022")</f>
        <v/>
      </c>
      <c r="Y731">
        <f>HYPERLINK("https://klasma.github.io/Logging_2462/tillsynsmail/A 13604-2022 tillsynsbegäran mail.docx", "A 13604-2022")</f>
        <v/>
      </c>
      <c r="Z731">
        <f>HYPERLINK("https://klasma.github.io/Logging_2462/fåglar/A 13604-2022 prioriterade fågelarter.docx", "A 13604-2022")</f>
        <v/>
      </c>
    </row>
    <row r="732" ht="15" customHeight="1">
      <c r="A732" t="inlineStr">
        <is>
          <t>A 14498-2022</t>
        </is>
      </c>
      <c r="B732" s="1" t="n">
        <v>44655</v>
      </c>
      <c r="C732" s="1" t="n">
        <v>45788</v>
      </c>
      <c r="D732" t="inlineStr">
        <is>
          <t>VÄSTERBOTTENS LÄN</t>
        </is>
      </c>
      <c r="E732" t="inlineStr">
        <is>
          <t>SKELLEFTEÅ</t>
        </is>
      </c>
      <c r="G732" t="n">
        <v>8.6</v>
      </c>
      <c r="H732" t="n">
        <v>0</v>
      </c>
      <c r="I732" t="n">
        <v>0</v>
      </c>
      <c r="J732" t="n">
        <v>3</v>
      </c>
      <c r="K732" t="n">
        <v>0</v>
      </c>
      <c r="L732" t="n">
        <v>0</v>
      </c>
      <c r="M732" t="n">
        <v>0</v>
      </c>
      <c r="N732" t="n">
        <v>0</v>
      </c>
      <c r="O732" t="n">
        <v>3</v>
      </c>
      <c r="P732" t="n">
        <v>0</v>
      </c>
      <c r="Q732" t="n">
        <v>3</v>
      </c>
      <c r="R732" s="2" t="inlineStr">
        <is>
          <t>Garnlav
Granticka
Ullticka</t>
        </is>
      </c>
      <c r="S732">
        <f>HYPERLINK("https://klasma.github.io/Logging_2482/artfynd/A 14498-2022 artfynd.xlsx", "A 14498-2022")</f>
        <v/>
      </c>
      <c r="T732">
        <f>HYPERLINK("https://klasma.github.io/Logging_2482/kartor/A 14498-2022 karta.png", "A 14498-2022")</f>
        <v/>
      </c>
      <c r="V732">
        <f>HYPERLINK("https://klasma.github.io/Logging_2482/klagomål/A 14498-2022 FSC-klagomål.docx", "A 14498-2022")</f>
        <v/>
      </c>
      <c r="W732">
        <f>HYPERLINK("https://klasma.github.io/Logging_2482/klagomålsmail/A 14498-2022 FSC-klagomål mail.docx", "A 14498-2022")</f>
        <v/>
      </c>
      <c r="X732">
        <f>HYPERLINK("https://klasma.github.io/Logging_2482/tillsyn/A 14498-2022 tillsynsbegäran.docx", "A 14498-2022")</f>
        <v/>
      </c>
      <c r="Y732">
        <f>HYPERLINK("https://klasma.github.io/Logging_2482/tillsynsmail/A 14498-2022 tillsynsbegäran mail.docx", "A 14498-2022")</f>
        <v/>
      </c>
    </row>
    <row r="733" ht="15" customHeight="1">
      <c r="A733" t="inlineStr">
        <is>
          <t>A 19803-2022</t>
        </is>
      </c>
      <c r="B733" s="1" t="n">
        <v>44694</v>
      </c>
      <c r="C733" s="1" t="n">
        <v>45788</v>
      </c>
      <c r="D733" t="inlineStr">
        <is>
          <t>VÄSTERBOTTENS LÄN</t>
        </is>
      </c>
      <c r="E733" t="inlineStr">
        <is>
          <t>SKELLEFTEÅ</t>
        </is>
      </c>
      <c r="F733" t="inlineStr">
        <is>
          <t>SCA</t>
        </is>
      </c>
      <c r="G733" t="n">
        <v>5.6</v>
      </c>
      <c r="H733" t="n">
        <v>1</v>
      </c>
      <c r="I733" t="n">
        <v>0</v>
      </c>
      <c r="J733" t="n">
        <v>3</v>
      </c>
      <c r="K733" t="n">
        <v>0</v>
      </c>
      <c r="L733" t="n">
        <v>0</v>
      </c>
      <c r="M733" t="n">
        <v>0</v>
      </c>
      <c r="N733" t="n">
        <v>0</v>
      </c>
      <c r="O733" t="n">
        <v>3</v>
      </c>
      <c r="P733" t="n">
        <v>0</v>
      </c>
      <c r="Q733" t="n">
        <v>3</v>
      </c>
      <c r="R733" s="2" t="inlineStr">
        <is>
          <t>Rosenticka
Spillkråka
Vitgrynig nållav</t>
        </is>
      </c>
      <c r="S733">
        <f>HYPERLINK("https://klasma.github.io/Logging_2482/artfynd/A 19803-2022 artfynd.xlsx", "A 19803-2022")</f>
        <v/>
      </c>
      <c r="T733">
        <f>HYPERLINK("https://klasma.github.io/Logging_2482/kartor/A 19803-2022 karta.png", "A 19803-2022")</f>
        <v/>
      </c>
      <c r="V733">
        <f>HYPERLINK("https://klasma.github.io/Logging_2482/klagomål/A 19803-2022 FSC-klagomål.docx", "A 19803-2022")</f>
        <v/>
      </c>
      <c r="W733">
        <f>HYPERLINK("https://klasma.github.io/Logging_2482/klagomålsmail/A 19803-2022 FSC-klagomål mail.docx", "A 19803-2022")</f>
        <v/>
      </c>
      <c r="X733">
        <f>HYPERLINK("https://klasma.github.io/Logging_2482/tillsyn/A 19803-2022 tillsynsbegäran.docx", "A 19803-2022")</f>
        <v/>
      </c>
      <c r="Y733">
        <f>HYPERLINK("https://klasma.github.io/Logging_2482/tillsynsmail/A 19803-2022 tillsynsbegäran mail.docx", "A 19803-2022")</f>
        <v/>
      </c>
      <c r="Z733">
        <f>HYPERLINK("https://klasma.github.io/Logging_2482/fåglar/A 19803-2022 prioriterade fågelarter.docx", "A 19803-2022")</f>
        <v/>
      </c>
    </row>
    <row r="734" ht="15" customHeight="1">
      <c r="A734" t="inlineStr">
        <is>
          <t>A 20434-2022</t>
        </is>
      </c>
      <c r="B734" s="1" t="n">
        <v>44699</v>
      </c>
      <c r="C734" s="1" t="n">
        <v>45788</v>
      </c>
      <c r="D734" t="inlineStr">
        <is>
          <t>VÄSTERBOTTENS LÄN</t>
        </is>
      </c>
      <c r="E734" t="inlineStr">
        <is>
          <t>STORUMAN</t>
        </is>
      </c>
      <c r="G734" t="n">
        <v>5.6</v>
      </c>
      <c r="H734" t="n">
        <v>3</v>
      </c>
      <c r="I734" t="n">
        <v>0</v>
      </c>
      <c r="J734" t="n">
        <v>2</v>
      </c>
      <c r="K734" t="n">
        <v>1</v>
      </c>
      <c r="L734" t="n">
        <v>0</v>
      </c>
      <c r="M734" t="n">
        <v>0</v>
      </c>
      <c r="N734" t="n">
        <v>0</v>
      </c>
      <c r="O734" t="n">
        <v>3</v>
      </c>
      <c r="P734" t="n">
        <v>1</v>
      </c>
      <c r="Q734" t="n">
        <v>3</v>
      </c>
      <c r="R734" s="2" t="inlineStr">
        <is>
          <t>Knärot
Spillkråka
Tretåig hackspett</t>
        </is>
      </c>
      <c r="S734">
        <f>HYPERLINK("https://klasma.github.io/Logging_2421/artfynd/A 20434-2022 artfynd.xlsx", "A 20434-2022")</f>
        <v/>
      </c>
      <c r="T734">
        <f>HYPERLINK("https://klasma.github.io/Logging_2421/kartor/A 20434-2022 karta.png", "A 20434-2022")</f>
        <v/>
      </c>
      <c r="U734">
        <f>HYPERLINK("https://klasma.github.io/Logging_2421/knärot/A 20434-2022 karta knärot.png", "A 20434-2022")</f>
        <v/>
      </c>
      <c r="V734">
        <f>HYPERLINK("https://klasma.github.io/Logging_2421/klagomål/A 20434-2022 FSC-klagomål.docx", "A 20434-2022")</f>
        <v/>
      </c>
      <c r="W734">
        <f>HYPERLINK("https://klasma.github.io/Logging_2421/klagomålsmail/A 20434-2022 FSC-klagomål mail.docx", "A 20434-2022")</f>
        <v/>
      </c>
      <c r="X734">
        <f>HYPERLINK("https://klasma.github.io/Logging_2421/tillsyn/A 20434-2022 tillsynsbegäran.docx", "A 20434-2022")</f>
        <v/>
      </c>
      <c r="Y734">
        <f>HYPERLINK("https://klasma.github.io/Logging_2421/tillsynsmail/A 20434-2022 tillsynsbegäran mail.docx", "A 20434-2022")</f>
        <v/>
      </c>
      <c r="Z734">
        <f>HYPERLINK("https://klasma.github.io/Logging_2421/fåglar/A 20434-2022 prioriterade fågelarter.docx", "A 20434-2022")</f>
        <v/>
      </c>
    </row>
    <row r="735" ht="15" customHeight="1">
      <c r="A735" t="inlineStr">
        <is>
          <t>A 22607-2022</t>
        </is>
      </c>
      <c r="B735" s="1" t="n">
        <v>44714</v>
      </c>
      <c r="C735" s="1" t="n">
        <v>45788</v>
      </c>
      <c r="D735" t="inlineStr">
        <is>
          <t>VÄSTERBOTTENS LÄN</t>
        </is>
      </c>
      <c r="E735" t="inlineStr">
        <is>
          <t>UMEÅ</t>
        </is>
      </c>
      <c r="G735" t="n">
        <v>3.1</v>
      </c>
      <c r="H735" t="n">
        <v>1</v>
      </c>
      <c r="I735" t="n">
        <v>1</v>
      </c>
      <c r="J735" t="n">
        <v>2</v>
      </c>
      <c r="K735" t="n">
        <v>0</v>
      </c>
      <c r="L735" t="n">
        <v>0</v>
      </c>
      <c r="M735" t="n">
        <v>0</v>
      </c>
      <c r="N735" t="n">
        <v>0</v>
      </c>
      <c r="O735" t="n">
        <v>2</v>
      </c>
      <c r="P735" t="n">
        <v>0</v>
      </c>
      <c r="Q735" t="n">
        <v>3</v>
      </c>
      <c r="R735" s="2" t="inlineStr">
        <is>
          <t>Gammelgransskål
Tretåig hackspett
Vedticka</t>
        </is>
      </c>
      <c r="S735">
        <f>HYPERLINK("https://klasma.github.io/Logging_2480/artfynd/A 22607-2022 artfynd.xlsx", "A 22607-2022")</f>
        <v/>
      </c>
      <c r="T735">
        <f>HYPERLINK("https://klasma.github.io/Logging_2480/kartor/A 22607-2022 karta.png", "A 22607-2022")</f>
        <v/>
      </c>
      <c r="V735">
        <f>HYPERLINK("https://klasma.github.io/Logging_2480/klagomål/A 22607-2022 FSC-klagomål.docx", "A 22607-2022")</f>
        <v/>
      </c>
      <c r="W735">
        <f>HYPERLINK("https://klasma.github.io/Logging_2480/klagomålsmail/A 22607-2022 FSC-klagomål mail.docx", "A 22607-2022")</f>
        <v/>
      </c>
      <c r="X735">
        <f>HYPERLINK("https://klasma.github.io/Logging_2480/tillsyn/A 22607-2022 tillsynsbegäran.docx", "A 22607-2022")</f>
        <v/>
      </c>
      <c r="Y735">
        <f>HYPERLINK("https://klasma.github.io/Logging_2480/tillsynsmail/A 22607-2022 tillsynsbegäran mail.docx", "A 22607-2022")</f>
        <v/>
      </c>
      <c r="Z735">
        <f>HYPERLINK("https://klasma.github.io/Logging_2480/fåglar/A 22607-2022 prioriterade fågelarter.docx", "A 22607-2022")</f>
        <v/>
      </c>
    </row>
    <row r="736" ht="15" customHeight="1">
      <c r="A736" t="inlineStr">
        <is>
          <t>A 25503-2022</t>
        </is>
      </c>
      <c r="B736" s="1" t="n">
        <v>44732</v>
      </c>
      <c r="C736" s="1" t="n">
        <v>45788</v>
      </c>
      <c r="D736" t="inlineStr">
        <is>
          <t>VÄSTERBOTTENS LÄN</t>
        </is>
      </c>
      <c r="E736" t="inlineStr">
        <is>
          <t>VILHELMINA</t>
        </is>
      </c>
      <c r="G736" t="n">
        <v>1.9</v>
      </c>
      <c r="H736" t="n">
        <v>0</v>
      </c>
      <c r="I736" t="n">
        <v>3</v>
      </c>
      <c r="J736" t="n">
        <v>0</v>
      </c>
      <c r="K736" t="n">
        <v>0</v>
      </c>
      <c r="L736" t="n">
        <v>0</v>
      </c>
      <c r="M736" t="n">
        <v>0</v>
      </c>
      <c r="N736" t="n">
        <v>0</v>
      </c>
      <c r="O736" t="n">
        <v>0</v>
      </c>
      <c r="P736" t="n">
        <v>0</v>
      </c>
      <c r="Q736" t="n">
        <v>3</v>
      </c>
      <c r="R736" s="2" t="inlineStr">
        <is>
          <t>Gulnål
Skinnlav
Stuplav</t>
        </is>
      </c>
      <c r="S736">
        <f>HYPERLINK("https://klasma.github.io/Logging_2462/artfynd/A 25503-2022 artfynd.xlsx", "A 25503-2022")</f>
        <v/>
      </c>
      <c r="T736">
        <f>HYPERLINK("https://klasma.github.io/Logging_2462/kartor/A 25503-2022 karta.png", "A 25503-2022")</f>
        <v/>
      </c>
      <c r="V736">
        <f>HYPERLINK("https://klasma.github.io/Logging_2462/klagomål/A 25503-2022 FSC-klagomål.docx", "A 25503-2022")</f>
        <v/>
      </c>
      <c r="W736">
        <f>HYPERLINK("https://klasma.github.io/Logging_2462/klagomålsmail/A 25503-2022 FSC-klagomål mail.docx", "A 25503-2022")</f>
        <v/>
      </c>
      <c r="X736">
        <f>HYPERLINK("https://klasma.github.io/Logging_2462/tillsyn/A 25503-2022 tillsynsbegäran.docx", "A 25503-2022")</f>
        <v/>
      </c>
      <c r="Y736">
        <f>HYPERLINK("https://klasma.github.io/Logging_2462/tillsynsmail/A 25503-2022 tillsynsbegäran mail.docx", "A 25503-2022")</f>
        <v/>
      </c>
    </row>
    <row r="737" ht="15" customHeight="1">
      <c r="A737" t="inlineStr">
        <is>
          <t>A 28420-2022</t>
        </is>
      </c>
      <c r="B737" s="1" t="n">
        <v>44747</v>
      </c>
      <c r="C737" s="1" t="n">
        <v>45788</v>
      </c>
      <c r="D737" t="inlineStr">
        <is>
          <t>VÄSTERBOTTENS LÄN</t>
        </is>
      </c>
      <c r="E737" t="inlineStr">
        <is>
          <t>LYCKSELE</t>
        </is>
      </c>
      <c r="G737" t="n">
        <v>6.4</v>
      </c>
      <c r="H737" t="n">
        <v>0</v>
      </c>
      <c r="I737" t="n">
        <v>2</v>
      </c>
      <c r="J737" t="n">
        <v>1</v>
      </c>
      <c r="K737" t="n">
        <v>0</v>
      </c>
      <c r="L737" t="n">
        <v>0</v>
      </c>
      <c r="M737" t="n">
        <v>0</v>
      </c>
      <c r="N737" t="n">
        <v>0</v>
      </c>
      <c r="O737" t="n">
        <v>1</v>
      </c>
      <c r="P737" t="n">
        <v>0</v>
      </c>
      <c r="Q737" t="n">
        <v>3</v>
      </c>
      <c r="R737" s="2" t="inlineStr">
        <is>
          <t>Lunglav
Luddlav
Stuplav</t>
        </is>
      </c>
      <c r="S737">
        <f>HYPERLINK("https://klasma.github.io/Logging_2481/artfynd/A 28420-2022 artfynd.xlsx", "A 28420-2022")</f>
        <v/>
      </c>
      <c r="T737">
        <f>HYPERLINK("https://klasma.github.io/Logging_2481/kartor/A 28420-2022 karta.png", "A 28420-2022")</f>
        <v/>
      </c>
      <c r="V737">
        <f>HYPERLINK("https://klasma.github.io/Logging_2481/klagomål/A 28420-2022 FSC-klagomål.docx", "A 28420-2022")</f>
        <v/>
      </c>
      <c r="W737">
        <f>HYPERLINK("https://klasma.github.io/Logging_2481/klagomålsmail/A 28420-2022 FSC-klagomål mail.docx", "A 28420-2022")</f>
        <v/>
      </c>
      <c r="X737">
        <f>HYPERLINK("https://klasma.github.io/Logging_2481/tillsyn/A 28420-2022 tillsynsbegäran.docx", "A 28420-2022")</f>
        <v/>
      </c>
      <c r="Y737">
        <f>HYPERLINK("https://klasma.github.io/Logging_2481/tillsynsmail/A 28420-2022 tillsynsbegäran mail.docx", "A 28420-2022")</f>
        <v/>
      </c>
    </row>
    <row r="738" ht="15" customHeight="1">
      <c r="A738" t="inlineStr">
        <is>
          <t>A 40987-2022</t>
        </is>
      </c>
      <c r="B738" s="1" t="n">
        <v>44823</v>
      </c>
      <c r="C738" s="1" t="n">
        <v>45788</v>
      </c>
      <c r="D738" t="inlineStr">
        <is>
          <t>VÄSTERBOTTENS LÄN</t>
        </is>
      </c>
      <c r="E738" t="inlineStr">
        <is>
          <t>SKELLEFTEÅ</t>
        </is>
      </c>
      <c r="G738" t="n">
        <v>7.1</v>
      </c>
      <c r="H738" t="n">
        <v>0</v>
      </c>
      <c r="I738" t="n">
        <v>2</v>
      </c>
      <c r="J738" t="n">
        <v>1</v>
      </c>
      <c r="K738" t="n">
        <v>0</v>
      </c>
      <c r="L738" t="n">
        <v>0</v>
      </c>
      <c r="M738" t="n">
        <v>0</v>
      </c>
      <c r="N738" t="n">
        <v>0</v>
      </c>
      <c r="O738" t="n">
        <v>1</v>
      </c>
      <c r="P738" t="n">
        <v>0</v>
      </c>
      <c r="Q738" t="n">
        <v>3</v>
      </c>
      <c r="R738" s="2" t="inlineStr">
        <is>
          <t>Blå taggsvamp
Bårdlav
Norrlandslav</t>
        </is>
      </c>
      <c r="S738">
        <f>HYPERLINK("https://klasma.github.io/Logging_2482/artfynd/A 40987-2022 artfynd.xlsx", "A 40987-2022")</f>
        <v/>
      </c>
      <c r="T738">
        <f>HYPERLINK("https://klasma.github.io/Logging_2482/kartor/A 40987-2022 karta.png", "A 40987-2022")</f>
        <v/>
      </c>
      <c r="V738">
        <f>HYPERLINK("https://klasma.github.io/Logging_2482/klagomål/A 40987-2022 FSC-klagomål.docx", "A 40987-2022")</f>
        <v/>
      </c>
      <c r="W738">
        <f>HYPERLINK("https://klasma.github.io/Logging_2482/klagomålsmail/A 40987-2022 FSC-klagomål mail.docx", "A 40987-2022")</f>
        <v/>
      </c>
      <c r="X738">
        <f>HYPERLINK("https://klasma.github.io/Logging_2482/tillsyn/A 40987-2022 tillsynsbegäran.docx", "A 40987-2022")</f>
        <v/>
      </c>
      <c r="Y738">
        <f>HYPERLINK("https://klasma.github.io/Logging_2482/tillsynsmail/A 40987-2022 tillsynsbegäran mail.docx", "A 40987-2022")</f>
        <v/>
      </c>
    </row>
    <row r="739" ht="15" customHeight="1">
      <c r="A739" t="inlineStr">
        <is>
          <t>A 41412-2022</t>
        </is>
      </c>
      <c r="B739" s="1" t="n">
        <v>44826</v>
      </c>
      <c r="C739" s="1" t="n">
        <v>45788</v>
      </c>
      <c r="D739" t="inlineStr">
        <is>
          <t>VÄSTERBOTTENS LÄN</t>
        </is>
      </c>
      <c r="E739" t="inlineStr">
        <is>
          <t>SKELLEFTEÅ</t>
        </is>
      </c>
      <c r="G739" t="n">
        <v>2.6</v>
      </c>
      <c r="H739" t="n">
        <v>0</v>
      </c>
      <c r="I739" t="n">
        <v>1</v>
      </c>
      <c r="J739" t="n">
        <v>2</v>
      </c>
      <c r="K739" t="n">
        <v>0</v>
      </c>
      <c r="L739" t="n">
        <v>0</v>
      </c>
      <c r="M739" t="n">
        <v>0</v>
      </c>
      <c r="N739" t="n">
        <v>0</v>
      </c>
      <c r="O739" t="n">
        <v>2</v>
      </c>
      <c r="P739" t="n">
        <v>0</v>
      </c>
      <c r="Q739" t="n">
        <v>3</v>
      </c>
      <c r="R739" s="2" t="inlineStr">
        <is>
          <t>Gränsticka
Ullticka
Vedticka</t>
        </is>
      </c>
      <c r="S739">
        <f>HYPERLINK("https://klasma.github.io/Logging_2482/artfynd/A 41412-2022 artfynd.xlsx", "A 41412-2022")</f>
        <v/>
      </c>
      <c r="T739">
        <f>HYPERLINK("https://klasma.github.io/Logging_2482/kartor/A 41412-2022 karta.png", "A 41412-2022")</f>
        <v/>
      </c>
      <c r="V739">
        <f>HYPERLINK("https://klasma.github.io/Logging_2482/klagomål/A 41412-2022 FSC-klagomål.docx", "A 41412-2022")</f>
        <v/>
      </c>
      <c r="W739">
        <f>HYPERLINK("https://klasma.github.io/Logging_2482/klagomålsmail/A 41412-2022 FSC-klagomål mail.docx", "A 41412-2022")</f>
        <v/>
      </c>
      <c r="X739">
        <f>HYPERLINK("https://klasma.github.io/Logging_2482/tillsyn/A 41412-2022 tillsynsbegäran.docx", "A 41412-2022")</f>
        <v/>
      </c>
      <c r="Y739">
        <f>HYPERLINK("https://klasma.github.io/Logging_2482/tillsynsmail/A 41412-2022 tillsynsbegäran mail.docx", "A 41412-2022")</f>
        <v/>
      </c>
    </row>
    <row r="740" ht="15" customHeight="1">
      <c r="A740" t="inlineStr">
        <is>
          <t>A 42687-2022</t>
        </is>
      </c>
      <c r="B740" s="1" t="n">
        <v>44831</v>
      </c>
      <c r="C740" s="1" t="n">
        <v>45788</v>
      </c>
      <c r="D740" t="inlineStr">
        <is>
          <t>VÄSTERBOTTENS LÄN</t>
        </is>
      </c>
      <c r="E740" t="inlineStr">
        <is>
          <t>SKELLEFTEÅ</t>
        </is>
      </c>
      <c r="G740" t="n">
        <v>2.7</v>
      </c>
      <c r="H740" t="n">
        <v>0</v>
      </c>
      <c r="I740" t="n">
        <v>0</v>
      </c>
      <c r="J740" t="n">
        <v>3</v>
      </c>
      <c r="K740" t="n">
        <v>0</v>
      </c>
      <c r="L740" t="n">
        <v>0</v>
      </c>
      <c r="M740" t="n">
        <v>0</v>
      </c>
      <c r="N740" t="n">
        <v>0</v>
      </c>
      <c r="O740" t="n">
        <v>3</v>
      </c>
      <c r="P740" t="n">
        <v>0</v>
      </c>
      <c r="Q740" t="n">
        <v>3</v>
      </c>
      <c r="R740" s="2" t="inlineStr">
        <is>
          <t>Granticka
Stjärntagging
Ullticka</t>
        </is>
      </c>
      <c r="S740">
        <f>HYPERLINK("https://klasma.github.io/Logging_2482/artfynd/A 42687-2022 artfynd.xlsx", "A 42687-2022")</f>
        <v/>
      </c>
      <c r="T740">
        <f>HYPERLINK("https://klasma.github.io/Logging_2482/kartor/A 42687-2022 karta.png", "A 42687-2022")</f>
        <v/>
      </c>
      <c r="V740">
        <f>HYPERLINK("https://klasma.github.io/Logging_2482/klagomål/A 42687-2022 FSC-klagomål.docx", "A 42687-2022")</f>
        <v/>
      </c>
      <c r="W740">
        <f>HYPERLINK("https://klasma.github.io/Logging_2482/klagomålsmail/A 42687-2022 FSC-klagomål mail.docx", "A 42687-2022")</f>
        <v/>
      </c>
      <c r="X740">
        <f>HYPERLINK("https://klasma.github.io/Logging_2482/tillsyn/A 42687-2022 tillsynsbegäran.docx", "A 42687-2022")</f>
        <v/>
      </c>
      <c r="Y740">
        <f>HYPERLINK("https://klasma.github.io/Logging_2482/tillsynsmail/A 42687-2022 tillsynsbegäran mail.docx", "A 42687-2022")</f>
        <v/>
      </c>
    </row>
    <row r="741" ht="15" customHeight="1">
      <c r="A741" t="inlineStr">
        <is>
          <t>A 46088-2022</t>
        </is>
      </c>
      <c r="B741" s="1" t="n">
        <v>44845</v>
      </c>
      <c r="C741" s="1" t="n">
        <v>45788</v>
      </c>
      <c r="D741" t="inlineStr">
        <is>
          <t>VÄSTERBOTTENS LÄN</t>
        </is>
      </c>
      <c r="E741" t="inlineStr">
        <is>
          <t>SORSELE</t>
        </is>
      </c>
      <c r="G741" t="n">
        <v>3.1</v>
      </c>
      <c r="H741" t="n">
        <v>1</v>
      </c>
      <c r="I741" t="n">
        <v>0</v>
      </c>
      <c r="J741" t="n">
        <v>2</v>
      </c>
      <c r="K741" t="n">
        <v>0</v>
      </c>
      <c r="L741" t="n">
        <v>0</v>
      </c>
      <c r="M741" t="n">
        <v>0</v>
      </c>
      <c r="N741" t="n">
        <v>0</v>
      </c>
      <c r="O741" t="n">
        <v>2</v>
      </c>
      <c r="P741" t="n">
        <v>0</v>
      </c>
      <c r="Q741" t="n">
        <v>3</v>
      </c>
      <c r="R741" s="2" t="inlineStr">
        <is>
          <t>Garnlav
Granticka
Revlummer</t>
        </is>
      </c>
      <c r="S741">
        <f>HYPERLINK("https://klasma.github.io/Logging_2422/artfynd/A 46088-2022 artfynd.xlsx", "A 46088-2022")</f>
        <v/>
      </c>
      <c r="T741">
        <f>HYPERLINK("https://klasma.github.io/Logging_2422/kartor/A 46088-2022 karta.png", "A 46088-2022")</f>
        <v/>
      </c>
      <c r="V741">
        <f>HYPERLINK("https://klasma.github.io/Logging_2422/klagomål/A 46088-2022 FSC-klagomål.docx", "A 46088-2022")</f>
        <v/>
      </c>
      <c r="W741">
        <f>HYPERLINK("https://klasma.github.io/Logging_2422/klagomålsmail/A 46088-2022 FSC-klagomål mail.docx", "A 46088-2022")</f>
        <v/>
      </c>
      <c r="X741">
        <f>HYPERLINK("https://klasma.github.io/Logging_2422/tillsyn/A 46088-2022 tillsynsbegäran.docx", "A 46088-2022")</f>
        <v/>
      </c>
      <c r="Y741">
        <f>HYPERLINK("https://klasma.github.io/Logging_2422/tillsynsmail/A 46088-2022 tillsynsbegäran mail.docx", "A 46088-2022")</f>
        <v/>
      </c>
    </row>
    <row r="742" ht="15" customHeight="1">
      <c r="A742" t="inlineStr">
        <is>
          <t>A 49644-2022</t>
        </is>
      </c>
      <c r="B742" s="1" t="n">
        <v>44862</v>
      </c>
      <c r="C742" s="1" t="n">
        <v>45788</v>
      </c>
      <c r="D742" t="inlineStr">
        <is>
          <t>VÄSTERBOTTENS LÄN</t>
        </is>
      </c>
      <c r="E742" t="inlineStr">
        <is>
          <t>UMEÅ</t>
        </is>
      </c>
      <c r="F742" t="inlineStr">
        <is>
          <t>Holmen skog AB</t>
        </is>
      </c>
      <c r="G742" t="n">
        <v>4.5</v>
      </c>
      <c r="H742" t="n">
        <v>2</v>
      </c>
      <c r="I742" t="n">
        <v>0</v>
      </c>
      <c r="J742" t="n">
        <v>3</v>
      </c>
      <c r="K742" t="n">
        <v>0</v>
      </c>
      <c r="L742" t="n">
        <v>0</v>
      </c>
      <c r="M742" t="n">
        <v>0</v>
      </c>
      <c r="N742" t="n">
        <v>0</v>
      </c>
      <c r="O742" t="n">
        <v>3</v>
      </c>
      <c r="P742" t="n">
        <v>0</v>
      </c>
      <c r="Q742" t="n">
        <v>3</v>
      </c>
      <c r="R742" s="2" t="inlineStr">
        <is>
          <t>Garnlav
Talltita
Tretåig hackspett</t>
        </is>
      </c>
      <c r="S742">
        <f>HYPERLINK("https://klasma.github.io/Logging_2480/artfynd/A 49644-2022 artfynd.xlsx", "A 49644-2022")</f>
        <v/>
      </c>
      <c r="T742">
        <f>HYPERLINK("https://klasma.github.io/Logging_2480/kartor/A 49644-2022 karta.png", "A 49644-2022")</f>
        <v/>
      </c>
      <c r="V742">
        <f>HYPERLINK("https://klasma.github.io/Logging_2480/klagomål/A 49644-2022 FSC-klagomål.docx", "A 49644-2022")</f>
        <v/>
      </c>
      <c r="W742">
        <f>HYPERLINK("https://klasma.github.io/Logging_2480/klagomålsmail/A 49644-2022 FSC-klagomål mail.docx", "A 49644-2022")</f>
        <v/>
      </c>
      <c r="X742">
        <f>HYPERLINK("https://klasma.github.io/Logging_2480/tillsyn/A 49644-2022 tillsynsbegäran.docx", "A 49644-2022")</f>
        <v/>
      </c>
      <c r="Y742">
        <f>HYPERLINK("https://klasma.github.io/Logging_2480/tillsynsmail/A 49644-2022 tillsynsbegäran mail.docx", "A 49644-2022")</f>
        <v/>
      </c>
      <c r="Z742">
        <f>HYPERLINK("https://klasma.github.io/Logging_2480/fåglar/A 49644-2022 prioriterade fågelarter.docx", "A 49644-2022")</f>
        <v/>
      </c>
    </row>
    <row r="743" ht="15" customHeight="1">
      <c r="A743" t="inlineStr">
        <is>
          <t>A 56519-2022</t>
        </is>
      </c>
      <c r="B743" s="1" t="n">
        <v>44893</v>
      </c>
      <c r="C743" s="1" t="n">
        <v>45788</v>
      </c>
      <c r="D743" t="inlineStr">
        <is>
          <t>VÄSTERBOTTENS LÄN</t>
        </is>
      </c>
      <c r="E743" t="inlineStr">
        <is>
          <t>LYCKSELE</t>
        </is>
      </c>
      <c r="F743" t="inlineStr">
        <is>
          <t>Sveaskog</t>
        </is>
      </c>
      <c r="G743" t="n">
        <v>18.2</v>
      </c>
      <c r="H743" t="n">
        <v>0</v>
      </c>
      <c r="I743" t="n">
        <v>2</v>
      </c>
      <c r="J743" t="n">
        <v>1</v>
      </c>
      <c r="K743" t="n">
        <v>0</v>
      </c>
      <c r="L743" t="n">
        <v>0</v>
      </c>
      <c r="M743" t="n">
        <v>0</v>
      </c>
      <c r="N743" t="n">
        <v>0</v>
      </c>
      <c r="O743" t="n">
        <v>1</v>
      </c>
      <c r="P743" t="n">
        <v>0</v>
      </c>
      <c r="Q743" t="n">
        <v>3</v>
      </c>
      <c r="R743" s="2" t="inlineStr">
        <is>
          <t>Vedflamlav
Dropptaggsvamp
Skarp dropptaggsvamp</t>
        </is>
      </c>
      <c r="S743">
        <f>HYPERLINK("https://klasma.github.io/Logging_2481/artfynd/A 56519-2022 artfynd.xlsx", "A 56519-2022")</f>
        <v/>
      </c>
      <c r="T743">
        <f>HYPERLINK("https://klasma.github.io/Logging_2481/kartor/A 56519-2022 karta.png", "A 56519-2022")</f>
        <v/>
      </c>
      <c r="V743">
        <f>HYPERLINK("https://klasma.github.io/Logging_2481/klagomål/A 56519-2022 FSC-klagomål.docx", "A 56519-2022")</f>
        <v/>
      </c>
      <c r="W743">
        <f>HYPERLINK("https://klasma.github.io/Logging_2481/klagomålsmail/A 56519-2022 FSC-klagomål mail.docx", "A 56519-2022")</f>
        <v/>
      </c>
      <c r="X743">
        <f>HYPERLINK("https://klasma.github.io/Logging_2481/tillsyn/A 56519-2022 tillsynsbegäran.docx", "A 56519-2022")</f>
        <v/>
      </c>
      <c r="Y743">
        <f>HYPERLINK("https://klasma.github.io/Logging_2481/tillsynsmail/A 56519-2022 tillsynsbegäran mail.docx", "A 56519-2022")</f>
        <v/>
      </c>
    </row>
    <row r="744" ht="15" customHeight="1">
      <c r="A744" t="inlineStr">
        <is>
          <t>A 60450-2022</t>
        </is>
      </c>
      <c r="B744" s="1" t="n">
        <v>44904</v>
      </c>
      <c r="C744" s="1" t="n">
        <v>45788</v>
      </c>
      <c r="D744" t="inlineStr">
        <is>
          <t>VÄSTERBOTTENS LÄN</t>
        </is>
      </c>
      <c r="E744" t="inlineStr">
        <is>
          <t>NORDMALING</t>
        </is>
      </c>
      <c r="G744" t="n">
        <v>3.3</v>
      </c>
      <c r="H744" t="n">
        <v>0</v>
      </c>
      <c r="I744" t="n">
        <v>0</v>
      </c>
      <c r="J744" t="n">
        <v>2</v>
      </c>
      <c r="K744" t="n">
        <v>1</v>
      </c>
      <c r="L744" t="n">
        <v>0</v>
      </c>
      <c r="M744" t="n">
        <v>0</v>
      </c>
      <c r="N744" t="n">
        <v>0</v>
      </c>
      <c r="O744" t="n">
        <v>3</v>
      </c>
      <c r="P744" t="n">
        <v>1</v>
      </c>
      <c r="Q744" t="n">
        <v>3</v>
      </c>
      <c r="R744" s="2" t="inlineStr">
        <is>
          <t>Rynkskinn
Lunglav
Ullticka</t>
        </is>
      </c>
      <c r="S744">
        <f>HYPERLINK("https://klasma.github.io/Logging_2401/artfynd/A 60450-2022 artfynd.xlsx", "A 60450-2022")</f>
        <v/>
      </c>
      <c r="T744">
        <f>HYPERLINK("https://klasma.github.io/Logging_2401/kartor/A 60450-2022 karta.png", "A 60450-2022")</f>
        <v/>
      </c>
      <c r="V744">
        <f>HYPERLINK("https://klasma.github.io/Logging_2401/klagomål/A 60450-2022 FSC-klagomål.docx", "A 60450-2022")</f>
        <v/>
      </c>
      <c r="W744">
        <f>HYPERLINK("https://klasma.github.io/Logging_2401/klagomålsmail/A 60450-2022 FSC-klagomål mail.docx", "A 60450-2022")</f>
        <v/>
      </c>
      <c r="X744">
        <f>HYPERLINK("https://klasma.github.io/Logging_2401/tillsyn/A 60450-2022 tillsynsbegäran.docx", "A 60450-2022")</f>
        <v/>
      </c>
      <c r="Y744">
        <f>HYPERLINK("https://klasma.github.io/Logging_2401/tillsynsmail/A 60450-2022 tillsynsbegäran mail.docx", "A 60450-2022")</f>
        <v/>
      </c>
    </row>
    <row r="745" ht="15" customHeight="1">
      <c r="A745" t="inlineStr">
        <is>
          <t>A 60313-2022</t>
        </is>
      </c>
      <c r="B745" s="1" t="n">
        <v>44910</v>
      </c>
      <c r="C745" s="1" t="n">
        <v>45788</v>
      </c>
      <c r="D745" t="inlineStr">
        <is>
          <t>VÄSTERBOTTENS LÄN</t>
        </is>
      </c>
      <c r="E745" t="inlineStr">
        <is>
          <t>VINDELN</t>
        </is>
      </c>
      <c r="F745" t="inlineStr">
        <is>
          <t>Sveaskog</t>
        </is>
      </c>
      <c r="G745" t="n">
        <v>5.2</v>
      </c>
      <c r="H745" t="n">
        <v>1</v>
      </c>
      <c r="I745" t="n">
        <v>1</v>
      </c>
      <c r="J745" t="n">
        <v>1</v>
      </c>
      <c r="K745" t="n">
        <v>0</v>
      </c>
      <c r="L745" t="n">
        <v>0</v>
      </c>
      <c r="M745" t="n">
        <v>0</v>
      </c>
      <c r="N745" t="n">
        <v>0</v>
      </c>
      <c r="O745" t="n">
        <v>1</v>
      </c>
      <c r="P745" t="n">
        <v>0</v>
      </c>
      <c r="Q745" t="n">
        <v>3</v>
      </c>
      <c r="R745" s="2" t="inlineStr">
        <is>
          <t>Kolflarnlav
Skarp dropptaggsvamp
Lavskrika</t>
        </is>
      </c>
      <c r="S745">
        <f>HYPERLINK("https://klasma.github.io/Logging_2404/artfynd/A 60313-2022 artfynd.xlsx", "A 60313-2022")</f>
        <v/>
      </c>
      <c r="T745">
        <f>HYPERLINK("https://klasma.github.io/Logging_2404/kartor/A 60313-2022 karta.png", "A 60313-2022")</f>
        <v/>
      </c>
      <c r="V745">
        <f>HYPERLINK("https://klasma.github.io/Logging_2404/klagomål/A 60313-2022 FSC-klagomål.docx", "A 60313-2022")</f>
        <v/>
      </c>
      <c r="W745">
        <f>HYPERLINK("https://klasma.github.io/Logging_2404/klagomålsmail/A 60313-2022 FSC-klagomål mail.docx", "A 60313-2022")</f>
        <v/>
      </c>
      <c r="X745">
        <f>HYPERLINK("https://klasma.github.io/Logging_2404/tillsyn/A 60313-2022 tillsynsbegäran.docx", "A 60313-2022")</f>
        <v/>
      </c>
      <c r="Y745">
        <f>HYPERLINK("https://klasma.github.io/Logging_2404/tillsynsmail/A 60313-2022 tillsynsbegäran mail.docx", "A 60313-2022")</f>
        <v/>
      </c>
      <c r="Z745">
        <f>HYPERLINK("https://klasma.github.io/Logging_2404/fåglar/A 60313-2022 prioriterade fågelarter.docx", "A 60313-2022")</f>
        <v/>
      </c>
    </row>
    <row r="746" ht="15" customHeight="1">
      <c r="A746" t="inlineStr">
        <is>
          <t>A 60434-2022</t>
        </is>
      </c>
      <c r="B746" s="1" t="n">
        <v>44911</v>
      </c>
      <c r="C746" s="1" t="n">
        <v>45788</v>
      </c>
      <c r="D746" t="inlineStr">
        <is>
          <t>VÄSTERBOTTENS LÄN</t>
        </is>
      </c>
      <c r="E746" t="inlineStr">
        <is>
          <t>VINDELN</t>
        </is>
      </c>
      <c r="F746" t="inlineStr">
        <is>
          <t>Sveaskog</t>
        </is>
      </c>
      <c r="G746" t="n">
        <v>5.5</v>
      </c>
      <c r="H746" t="n">
        <v>0</v>
      </c>
      <c r="I746" t="n">
        <v>1</v>
      </c>
      <c r="J746" t="n">
        <v>2</v>
      </c>
      <c r="K746" t="n">
        <v>0</v>
      </c>
      <c r="L746" t="n">
        <v>0</v>
      </c>
      <c r="M746" t="n">
        <v>0</v>
      </c>
      <c r="N746" t="n">
        <v>0</v>
      </c>
      <c r="O746" t="n">
        <v>2</v>
      </c>
      <c r="P746" t="n">
        <v>0</v>
      </c>
      <c r="Q746" t="n">
        <v>3</v>
      </c>
      <c r="R746" s="2" t="inlineStr">
        <is>
          <t>Gammelgransskål
Granticka
Luddlav</t>
        </is>
      </c>
      <c r="S746">
        <f>HYPERLINK("https://klasma.github.io/Logging_2404/artfynd/A 60434-2022 artfynd.xlsx", "A 60434-2022")</f>
        <v/>
      </c>
      <c r="T746">
        <f>HYPERLINK("https://klasma.github.io/Logging_2404/kartor/A 60434-2022 karta.png", "A 60434-2022")</f>
        <v/>
      </c>
      <c r="V746">
        <f>HYPERLINK("https://klasma.github.io/Logging_2404/klagomål/A 60434-2022 FSC-klagomål.docx", "A 60434-2022")</f>
        <v/>
      </c>
      <c r="W746">
        <f>HYPERLINK("https://klasma.github.io/Logging_2404/klagomålsmail/A 60434-2022 FSC-klagomål mail.docx", "A 60434-2022")</f>
        <v/>
      </c>
      <c r="X746">
        <f>HYPERLINK("https://klasma.github.io/Logging_2404/tillsyn/A 60434-2022 tillsynsbegäran.docx", "A 60434-2022")</f>
        <v/>
      </c>
      <c r="Y746">
        <f>HYPERLINK("https://klasma.github.io/Logging_2404/tillsynsmail/A 60434-2022 tillsynsbegäran mail.docx", "A 60434-2022")</f>
        <v/>
      </c>
    </row>
    <row r="747" ht="15" customHeight="1">
      <c r="A747" t="inlineStr">
        <is>
          <t>A 61824-2022</t>
        </is>
      </c>
      <c r="B747" s="1" t="n">
        <v>44917</v>
      </c>
      <c r="C747" s="1" t="n">
        <v>45788</v>
      </c>
      <c r="D747" t="inlineStr">
        <is>
          <t>VÄSTERBOTTENS LÄN</t>
        </is>
      </c>
      <c r="E747" t="inlineStr">
        <is>
          <t>VINDELN</t>
        </is>
      </c>
      <c r="G747" t="n">
        <v>4.1</v>
      </c>
      <c r="H747" t="n">
        <v>0</v>
      </c>
      <c r="I747" t="n">
        <v>1</v>
      </c>
      <c r="J747" t="n">
        <v>1</v>
      </c>
      <c r="K747" t="n">
        <v>1</v>
      </c>
      <c r="L747" t="n">
        <v>0</v>
      </c>
      <c r="M747" t="n">
        <v>0</v>
      </c>
      <c r="N747" t="n">
        <v>0</v>
      </c>
      <c r="O747" t="n">
        <v>2</v>
      </c>
      <c r="P747" t="n">
        <v>1</v>
      </c>
      <c r="Q747" t="n">
        <v>3</v>
      </c>
      <c r="R747" s="2" t="inlineStr">
        <is>
          <t>Tallgråticka
Talltaggsvamp
Mindre märgborre</t>
        </is>
      </c>
      <c r="S747">
        <f>HYPERLINK("https://klasma.github.io/Logging_2404/artfynd/A 61824-2022 artfynd.xlsx", "A 61824-2022")</f>
        <v/>
      </c>
      <c r="T747">
        <f>HYPERLINK("https://klasma.github.io/Logging_2404/kartor/A 61824-2022 karta.png", "A 61824-2022")</f>
        <v/>
      </c>
      <c r="V747">
        <f>HYPERLINK("https://klasma.github.io/Logging_2404/klagomål/A 61824-2022 FSC-klagomål.docx", "A 61824-2022")</f>
        <v/>
      </c>
      <c r="W747">
        <f>HYPERLINK("https://klasma.github.io/Logging_2404/klagomålsmail/A 61824-2022 FSC-klagomål mail.docx", "A 61824-2022")</f>
        <v/>
      </c>
      <c r="X747">
        <f>HYPERLINK("https://klasma.github.io/Logging_2404/tillsyn/A 61824-2022 tillsynsbegäran.docx", "A 61824-2022")</f>
        <v/>
      </c>
      <c r="Y747">
        <f>HYPERLINK("https://klasma.github.io/Logging_2404/tillsynsmail/A 61824-2022 tillsynsbegäran mail.docx", "A 61824-2022")</f>
        <v/>
      </c>
    </row>
    <row r="748" ht="15" customHeight="1">
      <c r="A748" t="inlineStr">
        <is>
          <t>A 5702-2023</t>
        </is>
      </c>
      <c r="B748" s="1" t="n">
        <v>44960</v>
      </c>
      <c r="C748" s="1" t="n">
        <v>45788</v>
      </c>
      <c r="D748" t="inlineStr">
        <is>
          <t>VÄSTERBOTTENS LÄN</t>
        </is>
      </c>
      <c r="E748" t="inlineStr">
        <is>
          <t>ÅSELE</t>
        </is>
      </c>
      <c r="F748" t="inlineStr">
        <is>
          <t>SCA</t>
        </is>
      </c>
      <c r="G748" t="n">
        <v>8</v>
      </c>
      <c r="H748" t="n">
        <v>1</v>
      </c>
      <c r="I748" t="n">
        <v>0</v>
      </c>
      <c r="J748" t="n">
        <v>2</v>
      </c>
      <c r="K748" t="n">
        <v>0</v>
      </c>
      <c r="L748" t="n">
        <v>0</v>
      </c>
      <c r="M748" t="n">
        <v>0</v>
      </c>
      <c r="N748" t="n">
        <v>0</v>
      </c>
      <c r="O748" t="n">
        <v>2</v>
      </c>
      <c r="P748" t="n">
        <v>0</v>
      </c>
      <c r="Q748" t="n">
        <v>3</v>
      </c>
      <c r="R748" s="2" t="inlineStr">
        <is>
          <t>Dvärgbägarlav
Kolflarnlav
Revlummer</t>
        </is>
      </c>
      <c r="S748">
        <f>HYPERLINK("https://klasma.github.io/Logging_2463/artfynd/A 5702-2023 artfynd.xlsx", "A 5702-2023")</f>
        <v/>
      </c>
      <c r="T748">
        <f>HYPERLINK("https://klasma.github.io/Logging_2463/kartor/A 5702-2023 karta.png", "A 5702-2023")</f>
        <v/>
      </c>
      <c r="V748">
        <f>HYPERLINK("https://klasma.github.io/Logging_2463/klagomål/A 5702-2023 FSC-klagomål.docx", "A 5702-2023")</f>
        <v/>
      </c>
      <c r="W748">
        <f>HYPERLINK("https://klasma.github.io/Logging_2463/klagomålsmail/A 5702-2023 FSC-klagomål mail.docx", "A 5702-2023")</f>
        <v/>
      </c>
      <c r="X748">
        <f>HYPERLINK("https://klasma.github.io/Logging_2463/tillsyn/A 5702-2023 tillsynsbegäran.docx", "A 5702-2023")</f>
        <v/>
      </c>
      <c r="Y748">
        <f>HYPERLINK("https://klasma.github.io/Logging_2463/tillsynsmail/A 5702-2023 tillsynsbegäran mail.docx", "A 5702-2023")</f>
        <v/>
      </c>
    </row>
    <row r="749" ht="15" customHeight="1">
      <c r="A749" t="inlineStr">
        <is>
          <t>A 9157-2023</t>
        </is>
      </c>
      <c r="B749" s="1" t="n">
        <v>44972</v>
      </c>
      <c r="C749" s="1" t="n">
        <v>45788</v>
      </c>
      <c r="D749" t="inlineStr">
        <is>
          <t>VÄSTERBOTTENS LÄN</t>
        </is>
      </c>
      <c r="E749" t="inlineStr">
        <is>
          <t>VILHELMINA</t>
        </is>
      </c>
      <c r="F749" t="inlineStr">
        <is>
          <t>Allmännings- och besparingsskogar</t>
        </is>
      </c>
      <c r="G749" t="n">
        <v>408.3</v>
      </c>
      <c r="H749" t="n">
        <v>0</v>
      </c>
      <c r="I749" t="n">
        <v>0</v>
      </c>
      <c r="J749" t="n">
        <v>3</v>
      </c>
      <c r="K749" t="n">
        <v>0</v>
      </c>
      <c r="L749" t="n">
        <v>0</v>
      </c>
      <c r="M749" t="n">
        <v>0</v>
      </c>
      <c r="N749" t="n">
        <v>0</v>
      </c>
      <c r="O749" t="n">
        <v>3</v>
      </c>
      <c r="P749" t="n">
        <v>0</v>
      </c>
      <c r="Q749" t="n">
        <v>3</v>
      </c>
      <c r="R749" s="2" t="inlineStr">
        <is>
          <t>Garnlav
Granticka
Harticka</t>
        </is>
      </c>
      <c r="S749">
        <f>HYPERLINK("https://klasma.github.io/Logging_2462/artfynd/A 9157-2023 artfynd.xlsx", "A 9157-2023")</f>
        <v/>
      </c>
      <c r="T749">
        <f>HYPERLINK("https://klasma.github.io/Logging_2462/kartor/A 9157-2023 karta.png", "A 9157-2023")</f>
        <v/>
      </c>
      <c r="V749">
        <f>HYPERLINK("https://klasma.github.io/Logging_2462/klagomål/A 9157-2023 FSC-klagomål.docx", "A 9157-2023")</f>
        <v/>
      </c>
      <c r="W749">
        <f>HYPERLINK("https://klasma.github.io/Logging_2462/klagomålsmail/A 9157-2023 FSC-klagomål mail.docx", "A 9157-2023")</f>
        <v/>
      </c>
      <c r="X749">
        <f>HYPERLINK("https://klasma.github.io/Logging_2462/tillsyn/A 9157-2023 tillsynsbegäran.docx", "A 9157-2023")</f>
        <v/>
      </c>
      <c r="Y749">
        <f>HYPERLINK("https://klasma.github.io/Logging_2462/tillsynsmail/A 9157-2023 tillsynsbegäran mail.docx", "A 9157-2023")</f>
        <v/>
      </c>
    </row>
    <row r="750" ht="15" customHeight="1">
      <c r="A750" t="inlineStr">
        <is>
          <t>A 18283-2023</t>
        </is>
      </c>
      <c r="B750" s="1" t="n">
        <v>45040</v>
      </c>
      <c r="C750" s="1" t="n">
        <v>45788</v>
      </c>
      <c r="D750" t="inlineStr">
        <is>
          <t>VÄSTERBOTTENS LÄN</t>
        </is>
      </c>
      <c r="E750" t="inlineStr">
        <is>
          <t>UMEÅ</t>
        </is>
      </c>
      <c r="G750" t="n">
        <v>13.4</v>
      </c>
      <c r="H750" t="n">
        <v>1</v>
      </c>
      <c r="I750" t="n">
        <v>0</v>
      </c>
      <c r="J750" t="n">
        <v>3</v>
      </c>
      <c r="K750" t="n">
        <v>0</v>
      </c>
      <c r="L750" t="n">
        <v>0</v>
      </c>
      <c r="M750" t="n">
        <v>0</v>
      </c>
      <c r="N750" t="n">
        <v>0</v>
      </c>
      <c r="O750" t="n">
        <v>3</v>
      </c>
      <c r="P750" t="n">
        <v>0</v>
      </c>
      <c r="Q750" t="n">
        <v>3</v>
      </c>
      <c r="R750" s="2" t="inlineStr">
        <is>
          <t>Garnlav
Järpe
Ullticka</t>
        </is>
      </c>
      <c r="S750">
        <f>HYPERLINK("https://klasma.github.io/Logging_2480/artfynd/A 18283-2023 artfynd.xlsx", "A 18283-2023")</f>
        <v/>
      </c>
      <c r="T750">
        <f>HYPERLINK("https://klasma.github.io/Logging_2480/kartor/A 18283-2023 karta.png", "A 18283-2023")</f>
        <v/>
      </c>
      <c r="V750">
        <f>HYPERLINK("https://klasma.github.io/Logging_2480/klagomål/A 18283-2023 FSC-klagomål.docx", "A 18283-2023")</f>
        <v/>
      </c>
      <c r="W750">
        <f>HYPERLINK("https://klasma.github.io/Logging_2480/klagomålsmail/A 18283-2023 FSC-klagomål mail.docx", "A 18283-2023")</f>
        <v/>
      </c>
      <c r="X750">
        <f>HYPERLINK("https://klasma.github.io/Logging_2480/tillsyn/A 18283-2023 tillsynsbegäran.docx", "A 18283-2023")</f>
        <v/>
      </c>
      <c r="Y750">
        <f>HYPERLINK("https://klasma.github.io/Logging_2480/tillsynsmail/A 18283-2023 tillsynsbegäran mail.docx", "A 18283-2023")</f>
        <v/>
      </c>
      <c r="Z750">
        <f>HYPERLINK("https://klasma.github.io/Logging_2480/fåglar/A 18283-2023 prioriterade fågelarter.docx", "A 18283-2023")</f>
        <v/>
      </c>
    </row>
    <row r="751" ht="15" customHeight="1">
      <c r="A751" t="inlineStr">
        <is>
          <t>A 18360-2023</t>
        </is>
      </c>
      <c r="B751" s="1" t="n">
        <v>45041</v>
      </c>
      <c r="C751" s="1" t="n">
        <v>45788</v>
      </c>
      <c r="D751" t="inlineStr">
        <is>
          <t>VÄSTERBOTTENS LÄN</t>
        </is>
      </c>
      <c r="E751" t="inlineStr">
        <is>
          <t>VINDELN</t>
        </is>
      </c>
      <c r="G751" t="n">
        <v>3.9</v>
      </c>
      <c r="H751" t="n">
        <v>0</v>
      </c>
      <c r="I751" t="n">
        <v>1</v>
      </c>
      <c r="J751" t="n">
        <v>0</v>
      </c>
      <c r="K751" t="n">
        <v>2</v>
      </c>
      <c r="L751" t="n">
        <v>0</v>
      </c>
      <c r="M751" t="n">
        <v>0</v>
      </c>
      <c r="N751" t="n">
        <v>0</v>
      </c>
      <c r="O751" t="n">
        <v>2</v>
      </c>
      <c r="P751" t="n">
        <v>2</v>
      </c>
      <c r="Q751" t="n">
        <v>3</v>
      </c>
      <c r="R751" s="2" t="inlineStr">
        <is>
          <t>Goliatmusseron
Tallgråticka
Skarp dropptaggsvamp</t>
        </is>
      </c>
      <c r="S751">
        <f>HYPERLINK("https://klasma.github.io/Logging_2404/artfynd/A 18360-2023 artfynd.xlsx", "A 18360-2023")</f>
        <v/>
      </c>
      <c r="T751">
        <f>HYPERLINK("https://klasma.github.io/Logging_2404/kartor/A 18360-2023 karta.png", "A 18360-2023")</f>
        <v/>
      </c>
      <c r="V751">
        <f>HYPERLINK("https://klasma.github.io/Logging_2404/klagomål/A 18360-2023 FSC-klagomål.docx", "A 18360-2023")</f>
        <v/>
      </c>
      <c r="W751">
        <f>HYPERLINK("https://klasma.github.io/Logging_2404/klagomålsmail/A 18360-2023 FSC-klagomål mail.docx", "A 18360-2023")</f>
        <v/>
      </c>
      <c r="X751">
        <f>HYPERLINK("https://klasma.github.io/Logging_2404/tillsyn/A 18360-2023 tillsynsbegäran.docx", "A 18360-2023")</f>
        <v/>
      </c>
      <c r="Y751">
        <f>HYPERLINK("https://klasma.github.io/Logging_2404/tillsynsmail/A 18360-2023 tillsynsbegäran mail.docx", "A 18360-2023")</f>
        <v/>
      </c>
    </row>
    <row r="752" ht="15" customHeight="1">
      <c r="A752" t="inlineStr">
        <is>
          <t>A 21672-2023</t>
        </is>
      </c>
      <c r="B752" s="1" t="n">
        <v>45063</v>
      </c>
      <c r="C752" s="1" t="n">
        <v>45788</v>
      </c>
      <c r="D752" t="inlineStr">
        <is>
          <t>VÄSTERBOTTENS LÄN</t>
        </is>
      </c>
      <c r="E752" t="inlineStr">
        <is>
          <t>DOROTEA</t>
        </is>
      </c>
      <c r="F752" t="inlineStr">
        <is>
          <t>SCA</t>
        </is>
      </c>
      <c r="G752" t="n">
        <v>7.4</v>
      </c>
      <c r="H752" t="n">
        <v>0</v>
      </c>
      <c r="I752" t="n">
        <v>0</v>
      </c>
      <c r="J752" t="n">
        <v>3</v>
      </c>
      <c r="K752" t="n">
        <v>0</v>
      </c>
      <c r="L752" t="n">
        <v>0</v>
      </c>
      <c r="M752" t="n">
        <v>0</v>
      </c>
      <c r="N752" t="n">
        <v>0</v>
      </c>
      <c r="O752" t="n">
        <v>3</v>
      </c>
      <c r="P752" t="n">
        <v>0</v>
      </c>
      <c r="Q752" t="n">
        <v>3</v>
      </c>
      <c r="R752" s="2" t="inlineStr">
        <is>
          <t>Doftskinn
Skrovellav
Ullticka</t>
        </is>
      </c>
      <c r="S752">
        <f>HYPERLINK("https://klasma.github.io/Logging_2425/artfynd/A 21672-2023 artfynd.xlsx", "A 21672-2023")</f>
        <v/>
      </c>
      <c r="T752">
        <f>HYPERLINK("https://klasma.github.io/Logging_2425/kartor/A 21672-2023 karta.png", "A 21672-2023")</f>
        <v/>
      </c>
      <c r="V752">
        <f>HYPERLINK("https://klasma.github.io/Logging_2425/klagomål/A 21672-2023 FSC-klagomål.docx", "A 21672-2023")</f>
        <v/>
      </c>
      <c r="W752">
        <f>HYPERLINK("https://klasma.github.io/Logging_2425/klagomålsmail/A 21672-2023 FSC-klagomål mail.docx", "A 21672-2023")</f>
        <v/>
      </c>
      <c r="X752">
        <f>HYPERLINK("https://klasma.github.io/Logging_2425/tillsyn/A 21672-2023 tillsynsbegäran.docx", "A 21672-2023")</f>
        <v/>
      </c>
      <c r="Y752">
        <f>HYPERLINK("https://klasma.github.io/Logging_2425/tillsynsmail/A 21672-2023 tillsynsbegäran mail.docx", "A 21672-2023")</f>
        <v/>
      </c>
    </row>
    <row r="753" ht="15" customHeight="1">
      <c r="A753" t="inlineStr">
        <is>
          <t>A 23338-2023</t>
        </is>
      </c>
      <c r="B753" s="1" t="n">
        <v>45076</v>
      </c>
      <c r="C753" s="1" t="n">
        <v>45788</v>
      </c>
      <c r="D753" t="inlineStr">
        <is>
          <t>VÄSTERBOTTENS LÄN</t>
        </is>
      </c>
      <c r="E753" t="inlineStr">
        <is>
          <t>ROBERTSFORS</t>
        </is>
      </c>
      <c r="F753" t="inlineStr">
        <is>
          <t>Holmen skog AB</t>
        </is>
      </c>
      <c r="G753" t="n">
        <v>8</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HYPERLINK("https://klasma.github.io/Logging_2409/artfynd/A 23338-2023 artfynd.xlsx", "A 23338-2023")</f>
        <v/>
      </c>
      <c r="T753">
        <f>HYPERLINK("https://klasma.github.io/Logging_2409/kartor/A 23338-2023 karta.png", "A 23338-2023")</f>
        <v/>
      </c>
      <c r="V753">
        <f>HYPERLINK("https://klasma.github.io/Logging_2409/klagomål/A 23338-2023 FSC-klagomål.docx", "A 23338-2023")</f>
        <v/>
      </c>
      <c r="W753">
        <f>HYPERLINK("https://klasma.github.io/Logging_2409/klagomålsmail/A 23338-2023 FSC-klagomål mail.docx", "A 23338-2023")</f>
        <v/>
      </c>
      <c r="X753">
        <f>HYPERLINK("https://klasma.github.io/Logging_2409/tillsyn/A 23338-2023 tillsynsbegäran.docx", "A 23338-2023")</f>
        <v/>
      </c>
      <c r="Y753">
        <f>HYPERLINK("https://klasma.github.io/Logging_2409/tillsynsmail/A 23338-2023 tillsynsbegäran mail.docx", "A 23338-2023")</f>
        <v/>
      </c>
      <c r="Z753">
        <f>HYPERLINK("https://klasma.github.io/Logging_2409/fåglar/A 23338-2023 prioriterade fågelarter.docx", "A 23338-2023")</f>
        <v/>
      </c>
    </row>
    <row r="754" ht="15" customHeight="1">
      <c r="A754" t="inlineStr">
        <is>
          <t>A 29312-2023</t>
        </is>
      </c>
      <c r="B754" s="1" t="n">
        <v>45106</v>
      </c>
      <c r="C754" s="1" t="n">
        <v>45788</v>
      </c>
      <c r="D754" t="inlineStr">
        <is>
          <t>VÄSTERBOTTENS LÄN</t>
        </is>
      </c>
      <c r="E754" t="inlineStr">
        <is>
          <t>NORSJÖ</t>
        </is>
      </c>
      <c r="G754" t="n">
        <v>19.5</v>
      </c>
      <c r="H754" t="n">
        <v>2</v>
      </c>
      <c r="I754" t="n">
        <v>0</v>
      </c>
      <c r="J754" t="n">
        <v>3</v>
      </c>
      <c r="K754" t="n">
        <v>0</v>
      </c>
      <c r="L754" t="n">
        <v>0</v>
      </c>
      <c r="M754" t="n">
        <v>0</v>
      </c>
      <c r="N754" t="n">
        <v>0</v>
      </c>
      <c r="O754" t="n">
        <v>3</v>
      </c>
      <c r="P754" t="n">
        <v>0</v>
      </c>
      <c r="Q754" t="n">
        <v>3</v>
      </c>
      <c r="R754" s="2" t="inlineStr">
        <is>
          <t>Lunglav
Spillkråka
Tretåig hackspett</t>
        </is>
      </c>
      <c r="S754">
        <f>HYPERLINK("https://klasma.github.io/Logging_2417/artfynd/A 29312-2023 artfynd.xlsx", "A 29312-2023")</f>
        <v/>
      </c>
      <c r="T754">
        <f>HYPERLINK("https://klasma.github.io/Logging_2417/kartor/A 29312-2023 karta.png", "A 29312-2023")</f>
        <v/>
      </c>
      <c r="V754">
        <f>HYPERLINK("https://klasma.github.io/Logging_2417/klagomål/A 29312-2023 FSC-klagomål.docx", "A 29312-2023")</f>
        <v/>
      </c>
      <c r="W754">
        <f>HYPERLINK("https://klasma.github.io/Logging_2417/klagomålsmail/A 29312-2023 FSC-klagomål mail.docx", "A 29312-2023")</f>
        <v/>
      </c>
      <c r="X754">
        <f>HYPERLINK("https://klasma.github.io/Logging_2417/tillsyn/A 29312-2023 tillsynsbegäran.docx", "A 29312-2023")</f>
        <v/>
      </c>
      <c r="Y754">
        <f>HYPERLINK("https://klasma.github.io/Logging_2417/tillsynsmail/A 29312-2023 tillsynsbegäran mail.docx", "A 29312-2023")</f>
        <v/>
      </c>
      <c r="Z754">
        <f>HYPERLINK("https://klasma.github.io/Logging_2417/fåglar/A 29312-2023 prioriterade fågelarter.docx", "A 29312-2023")</f>
        <v/>
      </c>
    </row>
    <row r="755" ht="15" customHeight="1">
      <c r="A755" t="inlineStr">
        <is>
          <t>A 35733-2023</t>
        </is>
      </c>
      <c r="B755" s="1" t="n">
        <v>45147</v>
      </c>
      <c r="C755" s="1" t="n">
        <v>45788</v>
      </c>
      <c r="D755" t="inlineStr">
        <is>
          <t>VÄSTERBOTTENS LÄN</t>
        </is>
      </c>
      <c r="E755" t="inlineStr">
        <is>
          <t>SKELLEFTEÅ</t>
        </is>
      </c>
      <c r="G755" t="n">
        <v>1.2</v>
      </c>
      <c r="H755" t="n">
        <v>0</v>
      </c>
      <c r="I755" t="n">
        <v>2</v>
      </c>
      <c r="J755" t="n">
        <v>1</v>
      </c>
      <c r="K755" t="n">
        <v>0</v>
      </c>
      <c r="L755" t="n">
        <v>0</v>
      </c>
      <c r="M755" t="n">
        <v>0</v>
      </c>
      <c r="N755" t="n">
        <v>0</v>
      </c>
      <c r="O755" t="n">
        <v>1</v>
      </c>
      <c r="P755" t="n">
        <v>0</v>
      </c>
      <c r="Q755" t="n">
        <v>3</v>
      </c>
      <c r="R755" s="2" t="inlineStr">
        <is>
          <t>Garnlav
Dropptaggsvamp
Skarp dropptaggsvamp</t>
        </is>
      </c>
      <c r="S755">
        <f>HYPERLINK("https://klasma.github.io/Logging_2482/artfynd/A 35733-2023 artfynd.xlsx", "A 35733-2023")</f>
        <v/>
      </c>
      <c r="T755">
        <f>HYPERLINK("https://klasma.github.io/Logging_2482/kartor/A 35733-2023 karta.png", "A 35733-2023")</f>
        <v/>
      </c>
      <c r="V755">
        <f>HYPERLINK("https://klasma.github.io/Logging_2482/klagomål/A 35733-2023 FSC-klagomål.docx", "A 35733-2023")</f>
        <v/>
      </c>
      <c r="W755">
        <f>HYPERLINK("https://klasma.github.io/Logging_2482/klagomålsmail/A 35733-2023 FSC-klagomål mail.docx", "A 35733-2023")</f>
        <v/>
      </c>
      <c r="X755">
        <f>HYPERLINK("https://klasma.github.io/Logging_2482/tillsyn/A 35733-2023 tillsynsbegäran.docx", "A 35733-2023")</f>
        <v/>
      </c>
      <c r="Y755">
        <f>HYPERLINK("https://klasma.github.io/Logging_2482/tillsynsmail/A 35733-2023 tillsynsbegäran mail.docx", "A 35733-2023")</f>
        <v/>
      </c>
    </row>
    <row r="756" ht="15" customHeight="1">
      <c r="A756" t="inlineStr">
        <is>
          <t>A 37889-2023</t>
        </is>
      </c>
      <c r="B756" s="1" t="n">
        <v>45160</v>
      </c>
      <c r="C756" s="1" t="n">
        <v>45788</v>
      </c>
      <c r="D756" t="inlineStr">
        <is>
          <t>VÄSTERBOTTENS LÄN</t>
        </is>
      </c>
      <c r="E756" t="inlineStr">
        <is>
          <t>UMEÅ</t>
        </is>
      </c>
      <c r="F756" t="inlineStr">
        <is>
          <t>Holmen skog AB</t>
        </is>
      </c>
      <c r="G756" t="n">
        <v>1.7</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HYPERLINK("https://klasma.github.io/Logging_2480/artfynd/A 37889-2023 artfynd.xlsx", "A 37889-2023")</f>
        <v/>
      </c>
      <c r="T756">
        <f>HYPERLINK("https://klasma.github.io/Logging_2480/kartor/A 37889-2023 karta.png", "A 37889-2023")</f>
        <v/>
      </c>
      <c r="V756">
        <f>HYPERLINK("https://klasma.github.io/Logging_2480/klagomål/A 37889-2023 FSC-klagomål.docx", "A 37889-2023")</f>
        <v/>
      </c>
      <c r="W756">
        <f>HYPERLINK("https://klasma.github.io/Logging_2480/klagomålsmail/A 37889-2023 FSC-klagomål mail.docx", "A 37889-2023")</f>
        <v/>
      </c>
      <c r="X756">
        <f>HYPERLINK("https://klasma.github.io/Logging_2480/tillsyn/A 37889-2023 tillsynsbegäran.docx", "A 37889-2023")</f>
        <v/>
      </c>
      <c r="Y756">
        <f>HYPERLINK("https://klasma.github.io/Logging_2480/tillsynsmail/A 37889-2023 tillsynsbegäran mail.docx", "A 37889-2023")</f>
        <v/>
      </c>
    </row>
    <row r="757" ht="15" customHeight="1">
      <c r="A757" t="inlineStr">
        <is>
          <t>A 39772-2023</t>
        </is>
      </c>
      <c r="B757" s="1" t="n">
        <v>45167</v>
      </c>
      <c r="C757" s="1" t="n">
        <v>45788</v>
      </c>
      <c r="D757" t="inlineStr">
        <is>
          <t>VÄSTERBOTTENS LÄN</t>
        </is>
      </c>
      <c r="E757" t="inlineStr">
        <is>
          <t>BJURHOLM</t>
        </is>
      </c>
      <c r="F757" t="inlineStr">
        <is>
          <t>Sveaskog</t>
        </is>
      </c>
      <c r="G757" t="n">
        <v>19</v>
      </c>
      <c r="H757" t="n">
        <v>0</v>
      </c>
      <c r="I757" t="n">
        <v>0</v>
      </c>
      <c r="J757" t="n">
        <v>3</v>
      </c>
      <c r="K757" t="n">
        <v>0</v>
      </c>
      <c r="L757" t="n">
        <v>0</v>
      </c>
      <c r="M757" t="n">
        <v>0</v>
      </c>
      <c r="N757" t="n">
        <v>0</v>
      </c>
      <c r="O757" t="n">
        <v>3</v>
      </c>
      <c r="P757" t="n">
        <v>0</v>
      </c>
      <c r="Q757" t="n">
        <v>3</v>
      </c>
      <c r="R757" s="2" t="inlineStr">
        <is>
          <t>Granticka
Tallticka
Ullticka</t>
        </is>
      </c>
      <c r="S757">
        <f>HYPERLINK("https://klasma.github.io/Logging_2403/artfynd/A 39772-2023 artfynd.xlsx", "A 39772-2023")</f>
        <v/>
      </c>
      <c r="T757">
        <f>HYPERLINK("https://klasma.github.io/Logging_2403/kartor/A 39772-2023 karta.png", "A 39772-2023")</f>
        <v/>
      </c>
      <c r="V757">
        <f>HYPERLINK("https://klasma.github.io/Logging_2403/klagomål/A 39772-2023 FSC-klagomål.docx", "A 39772-2023")</f>
        <v/>
      </c>
      <c r="W757">
        <f>HYPERLINK("https://klasma.github.io/Logging_2403/klagomålsmail/A 39772-2023 FSC-klagomål mail.docx", "A 39772-2023")</f>
        <v/>
      </c>
      <c r="X757">
        <f>HYPERLINK("https://klasma.github.io/Logging_2403/tillsyn/A 39772-2023 tillsynsbegäran.docx", "A 39772-2023")</f>
        <v/>
      </c>
      <c r="Y757">
        <f>HYPERLINK("https://klasma.github.io/Logging_2403/tillsynsmail/A 39772-2023 tillsynsbegäran mail.docx", "A 39772-2023")</f>
        <v/>
      </c>
    </row>
    <row r="758" ht="15" customHeight="1">
      <c r="A758" t="inlineStr">
        <is>
          <t>A 40657-2023</t>
        </is>
      </c>
      <c r="B758" s="1" t="n">
        <v>45170</v>
      </c>
      <c r="C758" s="1" t="n">
        <v>45788</v>
      </c>
      <c r="D758" t="inlineStr">
        <is>
          <t>VÄSTERBOTTENS LÄN</t>
        </is>
      </c>
      <c r="E758" t="inlineStr">
        <is>
          <t>LYCKSELE</t>
        </is>
      </c>
      <c r="F758" t="inlineStr">
        <is>
          <t>Sveaskog</t>
        </is>
      </c>
      <c r="G758" t="n">
        <v>7.1</v>
      </c>
      <c r="H758" t="n">
        <v>0</v>
      </c>
      <c r="I758" t="n">
        <v>1</v>
      </c>
      <c r="J758" t="n">
        <v>2</v>
      </c>
      <c r="K758" t="n">
        <v>0</v>
      </c>
      <c r="L758" t="n">
        <v>0</v>
      </c>
      <c r="M758" t="n">
        <v>0</v>
      </c>
      <c r="N758" t="n">
        <v>0</v>
      </c>
      <c r="O758" t="n">
        <v>2</v>
      </c>
      <c r="P758" t="n">
        <v>0</v>
      </c>
      <c r="Q758" t="n">
        <v>3</v>
      </c>
      <c r="R758" s="2" t="inlineStr">
        <is>
          <t>Lunglav
Orange taggsvamp
Dropptaggsvamp</t>
        </is>
      </c>
      <c r="S758">
        <f>HYPERLINK("https://klasma.github.io/Logging_2481/artfynd/A 40657-2023 artfynd.xlsx", "A 40657-2023")</f>
        <v/>
      </c>
      <c r="T758">
        <f>HYPERLINK("https://klasma.github.io/Logging_2481/kartor/A 40657-2023 karta.png", "A 40657-2023")</f>
        <v/>
      </c>
      <c r="V758">
        <f>HYPERLINK("https://klasma.github.io/Logging_2481/klagomål/A 40657-2023 FSC-klagomål.docx", "A 40657-2023")</f>
        <v/>
      </c>
      <c r="W758">
        <f>HYPERLINK("https://klasma.github.io/Logging_2481/klagomålsmail/A 40657-2023 FSC-klagomål mail.docx", "A 40657-2023")</f>
        <v/>
      </c>
      <c r="X758">
        <f>HYPERLINK("https://klasma.github.io/Logging_2481/tillsyn/A 40657-2023 tillsynsbegäran.docx", "A 40657-2023")</f>
        <v/>
      </c>
      <c r="Y758">
        <f>HYPERLINK("https://klasma.github.io/Logging_2481/tillsynsmail/A 40657-2023 tillsynsbegäran mail.docx", "A 40657-2023")</f>
        <v/>
      </c>
    </row>
    <row r="759" ht="15" customHeight="1">
      <c r="A759" t="inlineStr">
        <is>
          <t>A 41099-2023</t>
        </is>
      </c>
      <c r="B759" s="1" t="n">
        <v>45173</v>
      </c>
      <c r="C759" s="1" t="n">
        <v>45788</v>
      </c>
      <c r="D759" t="inlineStr">
        <is>
          <t>VÄSTERBOTTENS LÄN</t>
        </is>
      </c>
      <c r="E759" t="inlineStr">
        <is>
          <t>SKELLEFTEÅ</t>
        </is>
      </c>
      <c r="F759" t="inlineStr">
        <is>
          <t>Holmen skog AB</t>
        </is>
      </c>
      <c r="G759" t="n">
        <v>7.3</v>
      </c>
      <c r="H759" t="n">
        <v>0</v>
      </c>
      <c r="I759" t="n">
        <v>0</v>
      </c>
      <c r="J759" t="n">
        <v>3</v>
      </c>
      <c r="K759" t="n">
        <v>0</v>
      </c>
      <c r="L759" t="n">
        <v>0</v>
      </c>
      <c r="M759" t="n">
        <v>0</v>
      </c>
      <c r="N759" t="n">
        <v>0</v>
      </c>
      <c r="O759" t="n">
        <v>3</v>
      </c>
      <c r="P759" t="n">
        <v>0</v>
      </c>
      <c r="Q759" t="n">
        <v>3</v>
      </c>
      <c r="R759" s="2" t="inlineStr">
        <is>
          <t>Gammelgransskål
Garnlav
Lunglav</t>
        </is>
      </c>
      <c r="S759">
        <f>HYPERLINK("https://klasma.github.io/Logging_2482/artfynd/A 41099-2023 artfynd.xlsx", "A 41099-2023")</f>
        <v/>
      </c>
      <c r="T759">
        <f>HYPERLINK("https://klasma.github.io/Logging_2482/kartor/A 41099-2023 karta.png", "A 41099-2023")</f>
        <v/>
      </c>
      <c r="V759">
        <f>HYPERLINK("https://klasma.github.io/Logging_2482/klagomål/A 41099-2023 FSC-klagomål.docx", "A 41099-2023")</f>
        <v/>
      </c>
      <c r="W759">
        <f>HYPERLINK("https://klasma.github.io/Logging_2482/klagomålsmail/A 41099-2023 FSC-klagomål mail.docx", "A 41099-2023")</f>
        <v/>
      </c>
      <c r="X759">
        <f>HYPERLINK("https://klasma.github.io/Logging_2482/tillsyn/A 41099-2023 tillsynsbegäran.docx", "A 41099-2023")</f>
        <v/>
      </c>
      <c r="Y759">
        <f>HYPERLINK("https://klasma.github.io/Logging_2482/tillsynsmail/A 41099-2023 tillsynsbegäran mail.docx", "A 41099-2023")</f>
        <v/>
      </c>
    </row>
    <row r="760" ht="15" customHeight="1">
      <c r="A760" t="inlineStr">
        <is>
          <t>A 42472-2023</t>
        </is>
      </c>
      <c r="B760" s="1" t="n">
        <v>45180</v>
      </c>
      <c r="C760" s="1" t="n">
        <v>45788</v>
      </c>
      <c r="D760" t="inlineStr">
        <is>
          <t>VÄSTERBOTTENS LÄN</t>
        </is>
      </c>
      <c r="E760" t="inlineStr">
        <is>
          <t>MALÅ</t>
        </is>
      </c>
      <c r="G760" t="n">
        <v>94</v>
      </c>
      <c r="H760" t="n">
        <v>3</v>
      </c>
      <c r="I760" t="n">
        <v>0</v>
      </c>
      <c r="J760" t="n">
        <v>2</v>
      </c>
      <c r="K760" t="n">
        <v>0</v>
      </c>
      <c r="L760" t="n">
        <v>1</v>
      </c>
      <c r="M760" t="n">
        <v>0</v>
      </c>
      <c r="N760" t="n">
        <v>0</v>
      </c>
      <c r="O760" t="n">
        <v>3</v>
      </c>
      <c r="P760" t="n">
        <v>1</v>
      </c>
      <c r="Q760" t="n">
        <v>3</v>
      </c>
      <c r="R760" s="2" t="inlineStr">
        <is>
          <t>Grönfink
Svartvit flugsnappare
Talltita</t>
        </is>
      </c>
      <c r="S760">
        <f>HYPERLINK("https://klasma.github.io/Logging_2418/artfynd/A 42472-2023 artfynd.xlsx", "A 42472-2023")</f>
        <v/>
      </c>
      <c r="T760">
        <f>HYPERLINK("https://klasma.github.io/Logging_2418/kartor/A 42472-2023 karta.png", "A 42472-2023")</f>
        <v/>
      </c>
      <c r="V760">
        <f>HYPERLINK("https://klasma.github.io/Logging_2418/klagomål/A 42472-2023 FSC-klagomål.docx", "A 42472-2023")</f>
        <v/>
      </c>
      <c r="W760">
        <f>HYPERLINK("https://klasma.github.io/Logging_2418/klagomålsmail/A 42472-2023 FSC-klagomål mail.docx", "A 42472-2023")</f>
        <v/>
      </c>
      <c r="X760">
        <f>HYPERLINK("https://klasma.github.io/Logging_2418/tillsyn/A 42472-2023 tillsynsbegäran.docx", "A 42472-2023")</f>
        <v/>
      </c>
      <c r="Y760">
        <f>HYPERLINK("https://klasma.github.io/Logging_2418/tillsynsmail/A 42472-2023 tillsynsbegäran mail.docx", "A 42472-2023")</f>
        <v/>
      </c>
      <c r="Z760">
        <f>HYPERLINK("https://klasma.github.io/Logging_2418/fåglar/A 42472-2023 prioriterade fågelarter.docx", "A 42472-2023")</f>
        <v/>
      </c>
    </row>
    <row r="761" ht="15" customHeight="1">
      <c r="A761" t="inlineStr">
        <is>
          <t>A 42975-2023</t>
        </is>
      </c>
      <c r="B761" s="1" t="n">
        <v>45182</v>
      </c>
      <c r="C761" s="1" t="n">
        <v>45788</v>
      </c>
      <c r="D761" t="inlineStr">
        <is>
          <t>VÄSTERBOTTENS LÄN</t>
        </is>
      </c>
      <c r="E761" t="inlineStr">
        <is>
          <t>ÅSELE</t>
        </is>
      </c>
      <c r="F761" t="inlineStr">
        <is>
          <t>Sveaskog</t>
        </is>
      </c>
      <c r="G761" t="n">
        <v>15.1</v>
      </c>
      <c r="H761" t="n">
        <v>0</v>
      </c>
      <c r="I761" t="n">
        <v>0</v>
      </c>
      <c r="J761" t="n">
        <v>3</v>
      </c>
      <c r="K761" t="n">
        <v>0</v>
      </c>
      <c r="L761" t="n">
        <v>0</v>
      </c>
      <c r="M761" t="n">
        <v>0</v>
      </c>
      <c r="N761" t="n">
        <v>0</v>
      </c>
      <c r="O761" t="n">
        <v>3</v>
      </c>
      <c r="P761" t="n">
        <v>0</v>
      </c>
      <c r="Q761" t="n">
        <v>3</v>
      </c>
      <c r="R761" s="2" t="inlineStr">
        <is>
          <t>Garnlav
Granticka
Lunglav</t>
        </is>
      </c>
      <c r="S761">
        <f>HYPERLINK("https://klasma.github.io/Logging_2463/artfynd/A 42975-2023 artfynd.xlsx", "A 42975-2023")</f>
        <v/>
      </c>
      <c r="T761">
        <f>HYPERLINK("https://klasma.github.io/Logging_2463/kartor/A 42975-2023 karta.png", "A 42975-2023")</f>
        <v/>
      </c>
      <c r="V761">
        <f>HYPERLINK("https://klasma.github.io/Logging_2463/klagomål/A 42975-2023 FSC-klagomål.docx", "A 42975-2023")</f>
        <v/>
      </c>
      <c r="W761">
        <f>HYPERLINK("https://klasma.github.io/Logging_2463/klagomålsmail/A 42975-2023 FSC-klagomål mail.docx", "A 42975-2023")</f>
        <v/>
      </c>
      <c r="X761">
        <f>HYPERLINK("https://klasma.github.io/Logging_2463/tillsyn/A 42975-2023 tillsynsbegäran.docx", "A 42975-2023")</f>
        <v/>
      </c>
      <c r="Y761">
        <f>HYPERLINK("https://klasma.github.io/Logging_2463/tillsynsmail/A 42975-2023 tillsynsbegäran mail.docx", "A 42975-2023")</f>
        <v/>
      </c>
    </row>
    <row r="762" ht="15" customHeight="1">
      <c r="A762" t="inlineStr">
        <is>
          <t>A 44074-2023</t>
        </is>
      </c>
      <c r="B762" s="1" t="n">
        <v>45188</v>
      </c>
      <c r="C762" s="1" t="n">
        <v>45788</v>
      </c>
      <c r="D762" t="inlineStr">
        <is>
          <t>VÄSTERBOTTENS LÄN</t>
        </is>
      </c>
      <c r="E762" t="inlineStr">
        <is>
          <t>STORUMAN</t>
        </is>
      </c>
      <c r="G762" t="n">
        <v>5.3</v>
      </c>
      <c r="H762" t="n">
        <v>0</v>
      </c>
      <c r="I762" t="n">
        <v>3</v>
      </c>
      <c r="J762" t="n">
        <v>0</v>
      </c>
      <c r="K762" t="n">
        <v>0</v>
      </c>
      <c r="L762" t="n">
        <v>0</v>
      </c>
      <c r="M762" t="n">
        <v>0</v>
      </c>
      <c r="N762" t="n">
        <v>0</v>
      </c>
      <c r="O762" t="n">
        <v>0</v>
      </c>
      <c r="P762" t="n">
        <v>0</v>
      </c>
      <c r="Q762" t="n">
        <v>3</v>
      </c>
      <c r="R762" s="2" t="inlineStr">
        <is>
          <t>Stor aspticka
Svart trolldruva
Tibast</t>
        </is>
      </c>
      <c r="S762">
        <f>HYPERLINK("https://klasma.github.io/Logging_2421/artfynd/A 44074-2023 artfynd.xlsx", "A 44074-2023")</f>
        <v/>
      </c>
      <c r="T762">
        <f>HYPERLINK("https://klasma.github.io/Logging_2421/kartor/A 44074-2023 karta.png", "A 44074-2023")</f>
        <v/>
      </c>
      <c r="V762">
        <f>HYPERLINK("https://klasma.github.io/Logging_2421/klagomål/A 44074-2023 FSC-klagomål.docx", "A 44074-2023")</f>
        <v/>
      </c>
      <c r="W762">
        <f>HYPERLINK("https://klasma.github.io/Logging_2421/klagomålsmail/A 44074-2023 FSC-klagomål mail.docx", "A 44074-2023")</f>
        <v/>
      </c>
      <c r="X762">
        <f>HYPERLINK("https://klasma.github.io/Logging_2421/tillsyn/A 44074-2023 tillsynsbegäran.docx", "A 44074-2023")</f>
        <v/>
      </c>
      <c r="Y762">
        <f>HYPERLINK("https://klasma.github.io/Logging_2421/tillsynsmail/A 44074-2023 tillsynsbegäran mail.docx", "A 44074-2023")</f>
        <v/>
      </c>
    </row>
    <row r="763" ht="15" customHeight="1">
      <c r="A763" t="inlineStr">
        <is>
          <t>A 44152-2023</t>
        </is>
      </c>
      <c r="B763" s="1" t="n">
        <v>45188</v>
      </c>
      <c r="C763" s="1" t="n">
        <v>45788</v>
      </c>
      <c r="D763" t="inlineStr">
        <is>
          <t>VÄSTERBOTTENS LÄN</t>
        </is>
      </c>
      <c r="E763" t="inlineStr">
        <is>
          <t>SKELLEFTEÅ</t>
        </is>
      </c>
      <c r="F763" t="inlineStr">
        <is>
          <t>Holmen skog AB</t>
        </is>
      </c>
      <c r="G763" t="n">
        <v>9.199999999999999</v>
      </c>
      <c r="H763" t="n">
        <v>1</v>
      </c>
      <c r="I763" t="n">
        <v>0</v>
      </c>
      <c r="J763" t="n">
        <v>3</v>
      </c>
      <c r="K763" t="n">
        <v>0</v>
      </c>
      <c r="L763" t="n">
        <v>0</v>
      </c>
      <c r="M763" t="n">
        <v>0</v>
      </c>
      <c r="N763" t="n">
        <v>0</v>
      </c>
      <c r="O763" t="n">
        <v>3</v>
      </c>
      <c r="P763" t="n">
        <v>0</v>
      </c>
      <c r="Q763" t="n">
        <v>3</v>
      </c>
      <c r="R763" s="2" t="inlineStr">
        <is>
          <t>Gammelgransskål
Garnlav
Videsparv</t>
        </is>
      </c>
      <c r="S763">
        <f>HYPERLINK("https://klasma.github.io/Logging_2482/artfynd/A 44152-2023 artfynd.xlsx", "A 44152-2023")</f>
        <v/>
      </c>
      <c r="T763">
        <f>HYPERLINK("https://klasma.github.io/Logging_2482/kartor/A 44152-2023 karta.png", "A 44152-2023")</f>
        <v/>
      </c>
      <c r="V763">
        <f>HYPERLINK("https://klasma.github.io/Logging_2482/klagomål/A 44152-2023 FSC-klagomål.docx", "A 44152-2023")</f>
        <v/>
      </c>
      <c r="W763">
        <f>HYPERLINK("https://klasma.github.io/Logging_2482/klagomålsmail/A 44152-2023 FSC-klagomål mail.docx", "A 44152-2023")</f>
        <v/>
      </c>
      <c r="X763">
        <f>HYPERLINK("https://klasma.github.io/Logging_2482/tillsyn/A 44152-2023 tillsynsbegäran.docx", "A 44152-2023")</f>
        <v/>
      </c>
      <c r="Y763">
        <f>HYPERLINK("https://klasma.github.io/Logging_2482/tillsynsmail/A 44152-2023 tillsynsbegäran mail.docx", "A 44152-2023")</f>
        <v/>
      </c>
      <c r="Z763">
        <f>HYPERLINK("https://klasma.github.io/Logging_2482/fåglar/A 44152-2023 prioriterade fågelarter.docx", "A 44152-2023")</f>
        <v/>
      </c>
    </row>
    <row r="764" ht="15" customHeight="1">
      <c r="A764" t="inlineStr">
        <is>
          <t>A 47496-2023</t>
        </is>
      </c>
      <c r="B764" s="1" t="n">
        <v>45202</v>
      </c>
      <c r="C764" s="1" t="n">
        <v>45788</v>
      </c>
      <c r="D764" t="inlineStr">
        <is>
          <t>VÄSTERBOTTENS LÄN</t>
        </is>
      </c>
      <c r="E764" t="inlineStr">
        <is>
          <t>DOROTEA</t>
        </is>
      </c>
      <c r="F764" t="inlineStr">
        <is>
          <t>SCA</t>
        </is>
      </c>
      <c r="G764" t="n">
        <v>7.4</v>
      </c>
      <c r="H764" t="n">
        <v>1</v>
      </c>
      <c r="I764" t="n">
        <v>0</v>
      </c>
      <c r="J764" t="n">
        <v>2</v>
      </c>
      <c r="K764" t="n">
        <v>1</v>
      </c>
      <c r="L764" t="n">
        <v>0</v>
      </c>
      <c r="M764" t="n">
        <v>0</v>
      </c>
      <c r="N764" t="n">
        <v>0</v>
      </c>
      <c r="O764" t="n">
        <v>3</v>
      </c>
      <c r="P764" t="n">
        <v>1</v>
      </c>
      <c r="Q764" t="n">
        <v>3</v>
      </c>
      <c r="R764" s="2" t="inlineStr">
        <is>
          <t>Aspgelélav
Gammelgransskål
Tretåig hackspett</t>
        </is>
      </c>
      <c r="S764">
        <f>HYPERLINK("https://klasma.github.io/Logging_2425/artfynd/A 47496-2023 artfynd.xlsx", "A 47496-2023")</f>
        <v/>
      </c>
      <c r="T764">
        <f>HYPERLINK("https://klasma.github.io/Logging_2425/kartor/A 47496-2023 karta.png", "A 47496-2023")</f>
        <v/>
      </c>
      <c r="V764">
        <f>HYPERLINK("https://klasma.github.io/Logging_2425/klagomål/A 47496-2023 FSC-klagomål.docx", "A 47496-2023")</f>
        <v/>
      </c>
      <c r="W764">
        <f>HYPERLINK("https://klasma.github.io/Logging_2425/klagomålsmail/A 47496-2023 FSC-klagomål mail.docx", "A 47496-2023")</f>
        <v/>
      </c>
      <c r="X764">
        <f>HYPERLINK("https://klasma.github.io/Logging_2425/tillsyn/A 47496-2023 tillsynsbegäran.docx", "A 47496-2023")</f>
        <v/>
      </c>
      <c r="Y764">
        <f>HYPERLINK("https://klasma.github.io/Logging_2425/tillsynsmail/A 47496-2023 tillsynsbegäran mail.docx", "A 47496-2023")</f>
        <v/>
      </c>
      <c r="Z764">
        <f>HYPERLINK("https://klasma.github.io/Logging_2425/fåglar/A 47496-2023 prioriterade fågelarter.docx", "A 47496-2023")</f>
        <v/>
      </c>
    </row>
    <row r="765" ht="15" customHeight="1">
      <c r="A765" t="inlineStr">
        <is>
          <t>A 53808-2023</t>
        </is>
      </c>
      <c r="B765" s="1" t="n">
        <v>45231</v>
      </c>
      <c r="C765" s="1" t="n">
        <v>45788</v>
      </c>
      <c r="D765" t="inlineStr">
        <is>
          <t>VÄSTERBOTTENS LÄN</t>
        </is>
      </c>
      <c r="E765" t="inlineStr">
        <is>
          <t>LYCKSELE</t>
        </is>
      </c>
      <c r="F765" t="inlineStr">
        <is>
          <t>Sveaskog</t>
        </is>
      </c>
      <c r="G765" t="n">
        <v>1.8</v>
      </c>
      <c r="H765" t="n">
        <v>0</v>
      </c>
      <c r="I765" t="n">
        <v>2</v>
      </c>
      <c r="J765" t="n">
        <v>1</v>
      </c>
      <c r="K765" t="n">
        <v>0</v>
      </c>
      <c r="L765" t="n">
        <v>0</v>
      </c>
      <c r="M765" t="n">
        <v>0</v>
      </c>
      <c r="N765" t="n">
        <v>0</v>
      </c>
      <c r="O765" t="n">
        <v>1</v>
      </c>
      <c r="P765" t="n">
        <v>0</v>
      </c>
      <c r="Q765" t="n">
        <v>3</v>
      </c>
      <c r="R765" s="2" t="inlineStr">
        <is>
          <t>Vedflamlav
Brandticka
Gullgröppa</t>
        </is>
      </c>
      <c r="S765">
        <f>HYPERLINK("https://klasma.github.io/Logging_2481/artfynd/A 53808-2023 artfynd.xlsx", "A 53808-2023")</f>
        <v/>
      </c>
      <c r="T765">
        <f>HYPERLINK("https://klasma.github.io/Logging_2481/kartor/A 53808-2023 karta.png", "A 53808-2023")</f>
        <v/>
      </c>
      <c r="V765">
        <f>HYPERLINK("https://klasma.github.io/Logging_2481/klagomål/A 53808-2023 FSC-klagomål.docx", "A 53808-2023")</f>
        <v/>
      </c>
      <c r="W765">
        <f>HYPERLINK("https://klasma.github.io/Logging_2481/klagomålsmail/A 53808-2023 FSC-klagomål mail.docx", "A 53808-2023")</f>
        <v/>
      </c>
      <c r="X765">
        <f>HYPERLINK("https://klasma.github.io/Logging_2481/tillsyn/A 53808-2023 tillsynsbegäran.docx", "A 53808-2023")</f>
        <v/>
      </c>
      <c r="Y765">
        <f>HYPERLINK("https://klasma.github.io/Logging_2481/tillsynsmail/A 53808-2023 tillsynsbegäran mail.docx", "A 53808-2023")</f>
        <v/>
      </c>
    </row>
    <row r="766" ht="15" customHeight="1">
      <c r="A766" t="inlineStr">
        <is>
          <t>A 54609-2023</t>
        </is>
      </c>
      <c r="B766" s="1" t="n">
        <v>45233</v>
      </c>
      <c r="C766" s="1" t="n">
        <v>45788</v>
      </c>
      <c r="D766" t="inlineStr">
        <is>
          <t>VÄSTERBOTTENS LÄN</t>
        </is>
      </c>
      <c r="E766" t="inlineStr">
        <is>
          <t>VILHELMINA</t>
        </is>
      </c>
      <c r="F766" t="inlineStr">
        <is>
          <t>SCA</t>
        </is>
      </c>
      <c r="G766" t="n">
        <v>3.3</v>
      </c>
      <c r="H766" t="n">
        <v>3</v>
      </c>
      <c r="I766" t="n">
        <v>0</v>
      </c>
      <c r="J766" t="n">
        <v>2</v>
      </c>
      <c r="K766" t="n">
        <v>0</v>
      </c>
      <c r="L766" t="n">
        <v>0</v>
      </c>
      <c r="M766" t="n">
        <v>0</v>
      </c>
      <c r="N766" t="n">
        <v>0</v>
      </c>
      <c r="O766" t="n">
        <v>2</v>
      </c>
      <c r="P766" t="n">
        <v>0</v>
      </c>
      <c r="Q766" t="n">
        <v>3</v>
      </c>
      <c r="R766" s="2" t="inlineStr">
        <is>
          <t>Buskskvätta
Svartvit flugsnappare
Gråspett</t>
        </is>
      </c>
      <c r="S766">
        <f>HYPERLINK("https://klasma.github.io/Logging_2462/artfynd/A 54609-2023 artfynd.xlsx", "A 54609-2023")</f>
        <v/>
      </c>
      <c r="T766">
        <f>HYPERLINK("https://klasma.github.io/Logging_2462/kartor/A 54609-2023 karta.png", "A 54609-2023")</f>
        <v/>
      </c>
      <c r="V766">
        <f>HYPERLINK("https://klasma.github.io/Logging_2462/klagomål/A 54609-2023 FSC-klagomål.docx", "A 54609-2023")</f>
        <v/>
      </c>
      <c r="W766">
        <f>HYPERLINK("https://klasma.github.io/Logging_2462/klagomålsmail/A 54609-2023 FSC-klagomål mail.docx", "A 54609-2023")</f>
        <v/>
      </c>
      <c r="X766">
        <f>HYPERLINK("https://klasma.github.io/Logging_2462/tillsyn/A 54609-2023 tillsynsbegäran.docx", "A 54609-2023")</f>
        <v/>
      </c>
      <c r="Y766">
        <f>HYPERLINK("https://klasma.github.io/Logging_2462/tillsynsmail/A 54609-2023 tillsynsbegäran mail.docx", "A 54609-2023")</f>
        <v/>
      </c>
      <c r="Z766">
        <f>HYPERLINK("https://klasma.github.io/Logging_2462/fåglar/A 54609-2023 prioriterade fågelarter.docx", "A 54609-2023")</f>
        <v/>
      </c>
    </row>
    <row r="767" ht="15" customHeight="1">
      <c r="A767" t="inlineStr">
        <is>
          <t>A 56435-2023</t>
        </is>
      </c>
      <c r="B767" s="1" t="n">
        <v>45243</v>
      </c>
      <c r="C767" s="1" t="n">
        <v>45788</v>
      </c>
      <c r="D767" t="inlineStr">
        <is>
          <t>VÄSTERBOTTENS LÄN</t>
        </is>
      </c>
      <c r="E767" t="inlineStr">
        <is>
          <t>SKELLEFTEÅ</t>
        </is>
      </c>
      <c r="G767" t="n">
        <v>4.1</v>
      </c>
      <c r="H767" t="n">
        <v>0</v>
      </c>
      <c r="I767" t="n">
        <v>0</v>
      </c>
      <c r="J767" t="n">
        <v>3</v>
      </c>
      <c r="K767" t="n">
        <v>0</v>
      </c>
      <c r="L767" t="n">
        <v>0</v>
      </c>
      <c r="M767" t="n">
        <v>0</v>
      </c>
      <c r="N767" t="n">
        <v>0</v>
      </c>
      <c r="O767" t="n">
        <v>3</v>
      </c>
      <c r="P767" t="n">
        <v>0</v>
      </c>
      <c r="Q767" t="n">
        <v>3</v>
      </c>
      <c r="R767" s="2" t="inlineStr">
        <is>
          <t>Lunglav
Ullticka
Violettgrå tagellav</t>
        </is>
      </c>
      <c r="S767">
        <f>HYPERLINK("https://klasma.github.io/Logging_2482/artfynd/A 56435-2023 artfynd.xlsx", "A 56435-2023")</f>
        <v/>
      </c>
      <c r="T767">
        <f>HYPERLINK("https://klasma.github.io/Logging_2482/kartor/A 56435-2023 karta.png", "A 56435-2023")</f>
        <v/>
      </c>
      <c r="V767">
        <f>HYPERLINK("https://klasma.github.io/Logging_2482/klagomål/A 56435-2023 FSC-klagomål.docx", "A 56435-2023")</f>
        <v/>
      </c>
      <c r="W767">
        <f>HYPERLINK("https://klasma.github.io/Logging_2482/klagomålsmail/A 56435-2023 FSC-klagomål mail.docx", "A 56435-2023")</f>
        <v/>
      </c>
      <c r="X767">
        <f>HYPERLINK("https://klasma.github.io/Logging_2482/tillsyn/A 56435-2023 tillsynsbegäran.docx", "A 56435-2023")</f>
        <v/>
      </c>
      <c r="Y767">
        <f>HYPERLINK("https://klasma.github.io/Logging_2482/tillsynsmail/A 56435-2023 tillsynsbegäran mail.docx", "A 56435-2023")</f>
        <v/>
      </c>
    </row>
    <row r="768" ht="15" customHeight="1">
      <c r="A768" t="inlineStr">
        <is>
          <t>A 58157-2023</t>
        </is>
      </c>
      <c r="B768" s="1" t="n">
        <v>45250</v>
      </c>
      <c r="C768" s="1" t="n">
        <v>45788</v>
      </c>
      <c r="D768" t="inlineStr">
        <is>
          <t>VÄSTERBOTTENS LÄN</t>
        </is>
      </c>
      <c r="E768" t="inlineStr">
        <is>
          <t>SKELLEFTEÅ</t>
        </is>
      </c>
      <c r="F768" t="inlineStr">
        <is>
          <t>Holmen skog AB</t>
        </is>
      </c>
      <c r="G768" t="n">
        <v>14.4</v>
      </c>
      <c r="H768" t="n">
        <v>0</v>
      </c>
      <c r="I768" t="n">
        <v>0</v>
      </c>
      <c r="J768" t="n">
        <v>3</v>
      </c>
      <c r="K768" t="n">
        <v>0</v>
      </c>
      <c r="L768" t="n">
        <v>0</v>
      </c>
      <c r="M768" t="n">
        <v>0</v>
      </c>
      <c r="N768" t="n">
        <v>0</v>
      </c>
      <c r="O768" t="n">
        <v>3</v>
      </c>
      <c r="P768" t="n">
        <v>0</v>
      </c>
      <c r="Q768" t="n">
        <v>3</v>
      </c>
      <c r="R768" s="2" t="inlineStr">
        <is>
          <t>Granticka
Motaggsvamp
Orange taggsvamp</t>
        </is>
      </c>
      <c r="S768">
        <f>HYPERLINK("https://klasma.github.io/Logging_2482/artfynd/A 58157-2023 artfynd.xlsx", "A 58157-2023")</f>
        <v/>
      </c>
      <c r="T768">
        <f>HYPERLINK("https://klasma.github.io/Logging_2482/kartor/A 58157-2023 karta.png", "A 58157-2023")</f>
        <v/>
      </c>
      <c r="V768">
        <f>HYPERLINK("https://klasma.github.io/Logging_2482/klagomål/A 58157-2023 FSC-klagomål.docx", "A 58157-2023")</f>
        <v/>
      </c>
      <c r="W768">
        <f>HYPERLINK("https://klasma.github.io/Logging_2482/klagomålsmail/A 58157-2023 FSC-klagomål mail.docx", "A 58157-2023")</f>
        <v/>
      </c>
      <c r="X768">
        <f>HYPERLINK("https://klasma.github.io/Logging_2482/tillsyn/A 58157-2023 tillsynsbegäran.docx", "A 58157-2023")</f>
        <v/>
      </c>
      <c r="Y768">
        <f>HYPERLINK("https://klasma.github.io/Logging_2482/tillsynsmail/A 58157-2023 tillsynsbegäran mail.docx", "A 58157-2023")</f>
        <v/>
      </c>
    </row>
    <row r="769" ht="15" customHeight="1">
      <c r="A769" t="inlineStr">
        <is>
          <t>A 60880-2023</t>
        </is>
      </c>
      <c r="B769" s="1" t="n">
        <v>45259</v>
      </c>
      <c r="C769" s="1" t="n">
        <v>45788</v>
      </c>
      <c r="D769" t="inlineStr">
        <is>
          <t>VÄSTERBOTTENS LÄN</t>
        </is>
      </c>
      <c r="E769" t="inlineStr">
        <is>
          <t>STORUMAN</t>
        </is>
      </c>
      <c r="G769" t="n">
        <v>2.2</v>
      </c>
      <c r="H769" t="n">
        <v>3</v>
      </c>
      <c r="I769" t="n">
        <v>0</v>
      </c>
      <c r="J769" t="n">
        <v>2</v>
      </c>
      <c r="K769" t="n">
        <v>1</v>
      </c>
      <c r="L769" t="n">
        <v>0</v>
      </c>
      <c r="M769" t="n">
        <v>0</v>
      </c>
      <c r="N769" t="n">
        <v>0</v>
      </c>
      <c r="O769" t="n">
        <v>3</v>
      </c>
      <c r="P769" t="n">
        <v>1</v>
      </c>
      <c r="Q769" t="n">
        <v>3</v>
      </c>
      <c r="R769" s="2" t="inlineStr">
        <is>
          <t>Knärot
Spillkråka
Tretåig hackspett</t>
        </is>
      </c>
      <c r="S769">
        <f>HYPERLINK("https://klasma.github.io/Logging_2421/artfynd/A 60880-2023 artfynd.xlsx", "A 60880-2023")</f>
        <v/>
      </c>
      <c r="T769">
        <f>HYPERLINK("https://klasma.github.io/Logging_2421/kartor/A 60880-2023 karta.png", "A 60880-2023")</f>
        <v/>
      </c>
      <c r="U769">
        <f>HYPERLINK("https://klasma.github.io/Logging_2421/knärot/A 60880-2023 karta knärot.png", "A 60880-2023")</f>
        <v/>
      </c>
      <c r="V769">
        <f>HYPERLINK("https://klasma.github.io/Logging_2421/klagomål/A 60880-2023 FSC-klagomål.docx", "A 60880-2023")</f>
        <v/>
      </c>
      <c r="W769">
        <f>HYPERLINK("https://klasma.github.io/Logging_2421/klagomålsmail/A 60880-2023 FSC-klagomål mail.docx", "A 60880-2023")</f>
        <v/>
      </c>
      <c r="X769">
        <f>HYPERLINK("https://klasma.github.io/Logging_2421/tillsyn/A 60880-2023 tillsynsbegäran.docx", "A 60880-2023")</f>
        <v/>
      </c>
      <c r="Y769">
        <f>HYPERLINK("https://klasma.github.io/Logging_2421/tillsynsmail/A 60880-2023 tillsynsbegäran mail.docx", "A 60880-2023")</f>
        <v/>
      </c>
      <c r="Z769">
        <f>HYPERLINK("https://klasma.github.io/Logging_2421/fåglar/A 60880-2023 prioriterade fågelarter.docx", "A 60880-2023")</f>
        <v/>
      </c>
    </row>
    <row r="770" ht="15" customHeight="1">
      <c r="A770" t="inlineStr">
        <is>
          <t>A 62346-2023</t>
        </is>
      </c>
      <c r="B770" s="1" t="n">
        <v>45267</v>
      </c>
      <c r="C770" s="1" t="n">
        <v>45788</v>
      </c>
      <c r="D770" t="inlineStr">
        <is>
          <t>VÄSTERBOTTENS LÄN</t>
        </is>
      </c>
      <c r="E770" t="inlineStr">
        <is>
          <t>SKELLEFTEÅ</t>
        </is>
      </c>
      <c r="G770" t="n">
        <v>5.1</v>
      </c>
      <c r="H770" t="n">
        <v>0</v>
      </c>
      <c r="I770" t="n">
        <v>0</v>
      </c>
      <c r="J770" t="n">
        <v>3</v>
      </c>
      <c r="K770" t="n">
        <v>0</v>
      </c>
      <c r="L770" t="n">
        <v>0</v>
      </c>
      <c r="M770" t="n">
        <v>0</v>
      </c>
      <c r="N770" t="n">
        <v>0</v>
      </c>
      <c r="O770" t="n">
        <v>3</v>
      </c>
      <c r="P770" t="n">
        <v>0</v>
      </c>
      <c r="Q770" t="n">
        <v>3</v>
      </c>
      <c r="R770" s="2" t="inlineStr">
        <is>
          <t>Garnlav
Ullticka
Violettgrå tagellav</t>
        </is>
      </c>
      <c r="S770">
        <f>HYPERLINK("https://klasma.github.io/Logging_2482/artfynd/A 62346-2023 artfynd.xlsx", "A 62346-2023")</f>
        <v/>
      </c>
      <c r="T770">
        <f>HYPERLINK("https://klasma.github.io/Logging_2482/kartor/A 62346-2023 karta.png", "A 62346-2023")</f>
        <v/>
      </c>
      <c r="V770">
        <f>HYPERLINK("https://klasma.github.io/Logging_2482/klagomål/A 62346-2023 FSC-klagomål.docx", "A 62346-2023")</f>
        <v/>
      </c>
      <c r="W770">
        <f>HYPERLINK("https://klasma.github.io/Logging_2482/klagomålsmail/A 62346-2023 FSC-klagomål mail.docx", "A 62346-2023")</f>
        <v/>
      </c>
      <c r="X770">
        <f>HYPERLINK("https://klasma.github.io/Logging_2482/tillsyn/A 62346-2023 tillsynsbegäran.docx", "A 62346-2023")</f>
        <v/>
      </c>
      <c r="Y770">
        <f>HYPERLINK("https://klasma.github.io/Logging_2482/tillsynsmail/A 62346-2023 tillsynsbegäran mail.docx", "A 62346-2023")</f>
        <v/>
      </c>
    </row>
    <row r="771" ht="15" customHeight="1">
      <c r="A771" t="inlineStr">
        <is>
          <t>A 62595-2023</t>
        </is>
      </c>
      <c r="B771" s="1" t="n">
        <v>45267</v>
      </c>
      <c r="C771" s="1" t="n">
        <v>45788</v>
      </c>
      <c r="D771" t="inlineStr">
        <is>
          <t>VÄSTERBOTTENS LÄN</t>
        </is>
      </c>
      <c r="E771" t="inlineStr">
        <is>
          <t>SKELLEFTEÅ</t>
        </is>
      </c>
      <c r="G771" t="n">
        <v>4.6</v>
      </c>
      <c r="H771" t="n">
        <v>2</v>
      </c>
      <c r="I771" t="n">
        <v>1</v>
      </c>
      <c r="J771" t="n">
        <v>1</v>
      </c>
      <c r="K771" t="n">
        <v>0</v>
      </c>
      <c r="L771" t="n">
        <v>0</v>
      </c>
      <c r="M771" t="n">
        <v>0</v>
      </c>
      <c r="N771" t="n">
        <v>0</v>
      </c>
      <c r="O771" t="n">
        <v>1</v>
      </c>
      <c r="P771" t="n">
        <v>0</v>
      </c>
      <c r="Q771" t="n">
        <v>3</v>
      </c>
      <c r="R771" s="2" t="inlineStr">
        <is>
          <t>Spillkråka
Vedticka
Fläcknycklar</t>
        </is>
      </c>
      <c r="S771">
        <f>HYPERLINK("https://klasma.github.io/Logging_2482/artfynd/A 62595-2023 artfynd.xlsx", "A 62595-2023")</f>
        <v/>
      </c>
      <c r="T771">
        <f>HYPERLINK("https://klasma.github.io/Logging_2482/kartor/A 62595-2023 karta.png", "A 62595-2023")</f>
        <v/>
      </c>
      <c r="V771">
        <f>HYPERLINK("https://klasma.github.io/Logging_2482/klagomål/A 62595-2023 FSC-klagomål.docx", "A 62595-2023")</f>
        <v/>
      </c>
      <c r="W771">
        <f>HYPERLINK("https://klasma.github.io/Logging_2482/klagomålsmail/A 62595-2023 FSC-klagomål mail.docx", "A 62595-2023")</f>
        <v/>
      </c>
      <c r="X771">
        <f>HYPERLINK("https://klasma.github.io/Logging_2482/tillsyn/A 62595-2023 tillsynsbegäran.docx", "A 62595-2023")</f>
        <v/>
      </c>
      <c r="Y771">
        <f>HYPERLINK("https://klasma.github.io/Logging_2482/tillsynsmail/A 62595-2023 tillsynsbegäran mail.docx", "A 62595-2023")</f>
        <v/>
      </c>
      <c r="Z771">
        <f>HYPERLINK("https://klasma.github.io/Logging_2482/fåglar/A 62595-2023 prioriterade fågelarter.docx", "A 62595-2023")</f>
        <v/>
      </c>
    </row>
    <row r="772" ht="15" customHeight="1">
      <c r="A772" t="inlineStr">
        <is>
          <t>A 63289-2023</t>
        </is>
      </c>
      <c r="B772" s="1" t="n">
        <v>45273</v>
      </c>
      <c r="C772" s="1" t="n">
        <v>45788</v>
      </c>
      <c r="D772" t="inlineStr">
        <is>
          <t>VÄSTERBOTTENS LÄN</t>
        </is>
      </c>
      <c r="E772" t="inlineStr">
        <is>
          <t>SKELLEFTEÅ</t>
        </is>
      </c>
      <c r="G772" t="n">
        <v>2.7</v>
      </c>
      <c r="H772" t="n">
        <v>2</v>
      </c>
      <c r="I772" t="n">
        <v>1</v>
      </c>
      <c r="J772" t="n">
        <v>2</v>
      </c>
      <c r="K772" t="n">
        <v>0</v>
      </c>
      <c r="L772" t="n">
        <v>0</v>
      </c>
      <c r="M772" t="n">
        <v>0</v>
      </c>
      <c r="N772" t="n">
        <v>0</v>
      </c>
      <c r="O772" t="n">
        <v>2</v>
      </c>
      <c r="P772" t="n">
        <v>0</v>
      </c>
      <c r="Q772" t="n">
        <v>3</v>
      </c>
      <c r="R772" s="2" t="inlineStr">
        <is>
          <t>Talltita
Tretåig hackspett
Vedticka</t>
        </is>
      </c>
      <c r="S772">
        <f>HYPERLINK("https://klasma.github.io/Logging_2482/artfynd/A 63289-2023 artfynd.xlsx", "A 63289-2023")</f>
        <v/>
      </c>
      <c r="T772">
        <f>HYPERLINK("https://klasma.github.io/Logging_2482/kartor/A 63289-2023 karta.png", "A 63289-2023")</f>
        <v/>
      </c>
      <c r="V772">
        <f>HYPERLINK("https://klasma.github.io/Logging_2482/klagomål/A 63289-2023 FSC-klagomål.docx", "A 63289-2023")</f>
        <v/>
      </c>
      <c r="W772">
        <f>HYPERLINK("https://klasma.github.io/Logging_2482/klagomålsmail/A 63289-2023 FSC-klagomål mail.docx", "A 63289-2023")</f>
        <v/>
      </c>
      <c r="X772">
        <f>HYPERLINK("https://klasma.github.io/Logging_2482/tillsyn/A 63289-2023 tillsynsbegäran.docx", "A 63289-2023")</f>
        <v/>
      </c>
      <c r="Y772">
        <f>HYPERLINK("https://klasma.github.io/Logging_2482/tillsynsmail/A 63289-2023 tillsynsbegäran mail.docx", "A 63289-2023")</f>
        <v/>
      </c>
      <c r="Z772">
        <f>HYPERLINK("https://klasma.github.io/Logging_2482/fåglar/A 63289-2023 prioriterade fågelarter.docx", "A 63289-2023")</f>
        <v/>
      </c>
    </row>
    <row r="773" ht="15" customHeight="1">
      <c r="A773" t="inlineStr">
        <is>
          <t>A 64504-2023</t>
        </is>
      </c>
      <c r="B773" s="1" t="n">
        <v>45280</v>
      </c>
      <c r="C773" s="1" t="n">
        <v>45788</v>
      </c>
      <c r="D773" t="inlineStr">
        <is>
          <t>VÄSTERBOTTENS LÄN</t>
        </is>
      </c>
      <c r="E773" t="inlineStr">
        <is>
          <t>BJURHOLM</t>
        </is>
      </c>
      <c r="F773" t="inlineStr">
        <is>
          <t>SCA</t>
        </is>
      </c>
      <c r="G773" t="n">
        <v>3</v>
      </c>
      <c r="H773" t="n">
        <v>0</v>
      </c>
      <c r="I773" t="n">
        <v>1</v>
      </c>
      <c r="J773" t="n">
        <v>2</v>
      </c>
      <c r="K773" t="n">
        <v>0</v>
      </c>
      <c r="L773" t="n">
        <v>0</v>
      </c>
      <c r="M773" t="n">
        <v>0</v>
      </c>
      <c r="N773" t="n">
        <v>0</v>
      </c>
      <c r="O773" t="n">
        <v>2</v>
      </c>
      <c r="P773" t="n">
        <v>0</v>
      </c>
      <c r="Q773" t="n">
        <v>3</v>
      </c>
      <c r="R773" s="2" t="inlineStr">
        <is>
          <t>Lunglav
Vedskivlav
Skinnlav</t>
        </is>
      </c>
      <c r="S773">
        <f>HYPERLINK("https://klasma.github.io/Logging_2403/artfynd/A 64504-2023 artfynd.xlsx", "A 64504-2023")</f>
        <v/>
      </c>
      <c r="T773">
        <f>HYPERLINK("https://klasma.github.io/Logging_2403/kartor/A 64504-2023 karta.png", "A 64504-2023")</f>
        <v/>
      </c>
      <c r="V773">
        <f>HYPERLINK("https://klasma.github.io/Logging_2403/klagomål/A 64504-2023 FSC-klagomål.docx", "A 64504-2023")</f>
        <v/>
      </c>
      <c r="W773">
        <f>HYPERLINK("https://klasma.github.io/Logging_2403/klagomålsmail/A 64504-2023 FSC-klagomål mail.docx", "A 64504-2023")</f>
        <v/>
      </c>
      <c r="X773">
        <f>HYPERLINK("https://klasma.github.io/Logging_2403/tillsyn/A 64504-2023 tillsynsbegäran.docx", "A 64504-2023")</f>
        <v/>
      </c>
      <c r="Y773">
        <f>HYPERLINK("https://klasma.github.io/Logging_2403/tillsynsmail/A 64504-2023 tillsynsbegäran mail.docx", "A 64504-2023")</f>
        <v/>
      </c>
    </row>
    <row r="774" ht="15" customHeight="1">
      <c r="A774" t="inlineStr">
        <is>
          <t>A 64850-2023</t>
        </is>
      </c>
      <c r="B774" s="1" t="n">
        <v>45282</v>
      </c>
      <c r="C774" s="1" t="n">
        <v>45788</v>
      </c>
      <c r="D774" t="inlineStr">
        <is>
          <t>VÄSTERBOTTENS LÄN</t>
        </is>
      </c>
      <c r="E774" t="inlineStr">
        <is>
          <t>SKELLEFTEÅ</t>
        </is>
      </c>
      <c r="G774" t="n">
        <v>9.9</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64850-2023 artfynd.xlsx", "A 64850-2023")</f>
        <v/>
      </c>
      <c r="T774">
        <f>HYPERLINK("https://klasma.github.io/Logging_2482/kartor/A 64850-2023 karta.png", "A 64850-2023")</f>
        <v/>
      </c>
      <c r="V774">
        <f>HYPERLINK("https://klasma.github.io/Logging_2482/klagomål/A 64850-2023 FSC-klagomål.docx", "A 64850-2023")</f>
        <v/>
      </c>
      <c r="W774">
        <f>HYPERLINK("https://klasma.github.io/Logging_2482/klagomålsmail/A 64850-2023 FSC-klagomål mail.docx", "A 64850-2023")</f>
        <v/>
      </c>
      <c r="X774">
        <f>HYPERLINK("https://klasma.github.io/Logging_2482/tillsyn/A 64850-2023 tillsynsbegäran.docx", "A 64850-2023")</f>
        <v/>
      </c>
      <c r="Y774">
        <f>HYPERLINK("https://klasma.github.io/Logging_2482/tillsynsmail/A 64850-2023 tillsynsbegäran mail.docx", "A 64850-2023")</f>
        <v/>
      </c>
    </row>
    <row r="775" ht="15" customHeight="1">
      <c r="A775" t="inlineStr">
        <is>
          <t>A 65240-2023</t>
        </is>
      </c>
      <c r="B775" s="1" t="n">
        <v>45289</v>
      </c>
      <c r="C775" s="1" t="n">
        <v>45788</v>
      </c>
      <c r="D775" t="inlineStr">
        <is>
          <t>VÄSTERBOTTENS LÄN</t>
        </is>
      </c>
      <c r="E775" t="inlineStr">
        <is>
          <t>NORSJÖ</t>
        </is>
      </c>
      <c r="G775" t="n">
        <v>4.8</v>
      </c>
      <c r="H775" t="n">
        <v>1</v>
      </c>
      <c r="I775" t="n">
        <v>0</v>
      </c>
      <c r="J775" t="n">
        <v>3</v>
      </c>
      <c r="K775" t="n">
        <v>0</v>
      </c>
      <c r="L775" t="n">
        <v>0</v>
      </c>
      <c r="M775" t="n">
        <v>0</v>
      </c>
      <c r="N775" t="n">
        <v>0</v>
      </c>
      <c r="O775" t="n">
        <v>3</v>
      </c>
      <c r="P775" t="n">
        <v>0</v>
      </c>
      <c r="Q775" t="n">
        <v>3</v>
      </c>
      <c r="R775" s="2" t="inlineStr">
        <is>
          <t>Granticka
Spillkråka
Ullticka</t>
        </is>
      </c>
      <c r="S775">
        <f>HYPERLINK("https://klasma.github.io/Logging_2417/artfynd/A 65240-2023 artfynd.xlsx", "A 65240-2023")</f>
        <v/>
      </c>
      <c r="T775">
        <f>HYPERLINK("https://klasma.github.io/Logging_2417/kartor/A 65240-2023 karta.png", "A 65240-2023")</f>
        <v/>
      </c>
      <c r="V775">
        <f>HYPERLINK("https://klasma.github.io/Logging_2417/klagomål/A 65240-2023 FSC-klagomål.docx", "A 65240-2023")</f>
        <v/>
      </c>
      <c r="W775">
        <f>HYPERLINK("https://klasma.github.io/Logging_2417/klagomålsmail/A 65240-2023 FSC-klagomål mail.docx", "A 65240-2023")</f>
        <v/>
      </c>
      <c r="X775">
        <f>HYPERLINK("https://klasma.github.io/Logging_2417/tillsyn/A 65240-2023 tillsynsbegäran.docx", "A 65240-2023")</f>
        <v/>
      </c>
      <c r="Y775">
        <f>HYPERLINK("https://klasma.github.io/Logging_2417/tillsynsmail/A 65240-2023 tillsynsbegäran mail.docx", "A 65240-2023")</f>
        <v/>
      </c>
      <c r="Z775">
        <f>HYPERLINK("https://klasma.github.io/Logging_2417/fåglar/A 65240-2023 prioriterade fågelarter.docx", "A 65240-2023")</f>
        <v/>
      </c>
    </row>
    <row r="776" ht="15" customHeight="1">
      <c r="A776" t="inlineStr">
        <is>
          <t>A 679-2024</t>
        </is>
      </c>
      <c r="B776" s="1" t="n">
        <v>45300</v>
      </c>
      <c r="C776" s="1" t="n">
        <v>45788</v>
      </c>
      <c r="D776" t="inlineStr">
        <is>
          <t>VÄSTERBOTTENS LÄN</t>
        </is>
      </c>
      <c r="E776" t="inlineStr">
        <is>
          <t>LYCKSELE</t>
        </is>
      </c>
      <c r="G776" t="n">
        <v>11.3</v>
      </c>
      <c r="H776" t="n">
        <v>0</v>
      </c>
      <c r="I776" t="n">
        <v>1</v>
      </c>
      <c r="J776" t="n">
        <v>2</v>
      </c>
      <c r="K776" t="n">
        <v>0</v>
      </c>
      <c r="L776" t="n">
        <v>0</v>
      </c>
      <c r="M776" t="n">
        <v>0</v>
      </c>
      <c r="N776" t="n">
        <v>0</v>
      </c>
      <c r="O776" t="n">
        <v>2</v>
      </c>
      <c r="P776" t="n">
        <v>0</v>
      </c>
      <c r="Q776" t="n">
        <v>3</v>
      </c>
      <c r="R776" s="2" t="inlineStr">
        <is>
          <t>Garnlav
Skrovellav
Luddlav</t>
        </is>
      </c>
      <c r="S776">
        <f>HYPERLINK("https://klasma.github.io/Logging_2481/artfynd/A 679-2024 artfynd.xlsx", "A 679-2024")</f>
        <v/>
      </c>
      <c r="T776">
        <f>HYPERLINK("https://klasma.github.io/Logging_2481/kartor/A 679-2024 karta.png", "A 679-2024")</f>
        <v/>
      </c>
      <c r="V776">
        <f>HYPERLINK("https://klasma.github.io/Logging_2481/klagomål/A 679-2024 FSC-klagomål.docx", "A 679-2024")</f>
        <v/>
      </c>
      <c r="W776">
        <f>HYPERLINK("https://klasma.github.io/Logging_2481/klagomålsmail/A 679-2024 FSC-klagomål mail.docx", "A 679-2024")</f>
        <v/>
      </c>
      <c r="X776">
        <f>HYPERLINK("https://klasma.github.io/Logging_2481/tillsyn/A 679-2024 tillsynsbegäran.docx", "A 679-2024")</f>
        <v/>
      </c>
      <c r="Y776">
        <f>HYPERLINK("https://klasma.github.io/Logging_2481/tillsynsmail/A 679-2024 tillsynsbegäran mail.docx", "A 679-2024")</f>
        <v/>
      </c>
    </row>
    <row r="777" ht="15" customHeight="1">
      <c r="A777" t="inlineStr">
        <is>
          <t>A 982-2024</t>
        </is>
      </c>
      <c r="B777" s="1" t="n">
        <v>45301</v>
      </c>
      <c r="C777" s="1" t="n">
        <v>45788</v>
      </c>
      <c r="D777" t="inlineStr">
        <is>
          <t>VÄSTERBOTTENS LÄN</t>
        </is>
      </c>
      <c r="E777" t="inlineStr">
        <is>
          <t>BJURHOLM</t>
        </is>
      </c>
      <c r="G777" t="n">
        <v>13.4</v>
      </c>
      <c r="H777" t="n">
        <v>1</v>
      </c>
      <c r="I777" t="n">
        <v>1</v>
      </c>
      <c r="J777" t="n">
        <v>1</v>
      </c>
      <c r="K777" t="n">
        <v>1</v>
      </c>
      <c r="L777" t="n">
        <v>0</v>
      </c>
      <c r="M777" t="n">
        <v>0</v>
      </c>
      <c r="N777" t="n">
        <v>0</v>
      </c>
      <c r="O777" t="n">
        <v>2</v>
      </c>
      <c r="P777" t="n">
        <v>1</v>
      </c>
      <c r="Q777" t="n">
        <v>3</v>
      </c>
      <c r="R777" s="2" t="inlineStr">
        <is>
          <t>Knärot
Ullticka
Skarp dropptaggsvamp</t>
        </is>
      </c>
      <c r="S777">
        <f>HYPERLINK("https://klasma.github.io/Logging_2403/artfynd/A 982-2024 artfynd.xlsx", "A 982-2024")</f>
        <v/>
      </c>
      <c r="T777">
        <f>HYPERLINK("https://klasma.github.io/Logging_2403/kartor/A 982-2024 karta.png", "A 982-2024")</f>
        <v/>
      </c>
      <c r="U777">
        <f>HYPERLINK("https://klasma.github.io/Logging_2403/knärot/A 982-2024 karta knärot.png", "A 982-2024")</f>
        <v/>
      </c>
      <c r="V777">
        <f>HYPERLINK("https://klasma.github.io/Logging_2403/klagomål/A 982-2024 FSC-klagomål.docx", "A 982-2024")</f>
        <v/>
      </c>
      <c r="W777">
        <f>HYPERLINK("https://klasma.github.io/Logging_2403/klagomålsmail/A 982-2024 FSC-klagomål mail.docx", "A 982-2024")</f>
        <v/>
      </c>
      <c r="X777">
        <f>HYPERLINK("https://klasma.github.io/Logging_2403/tillsyn/A 982-2024 tillsynsbegäran.docx", "A 982-2024")</f>
        <v/>
      </c>
      <c r="Y777">
        <f>HYPERLINK("https://klasma.github.io/Logging_2403/tillsynsmail/A 982-2024 tillsynsbegäran mail.docx", "A 982-2024")</f>
        <v/>
      </c>
    </row>
    <row r="778" ht="15" customHeight="1">
      <c r="A778" t="inlineStr">
        <is>
          <t>A 4468-2024</t>
        </is>
      </c>
      <c r="B778" s="1" t="n">
        <v>45324</v>
      </c>
      <c r="C778" s="1" t="n">
        <v>45788</v>
      </c>
      <c r="D778" t="inlineStr">
        <is>
          <t>VÄSTERBOTTENS LÄN</t>
        </is>
      </c>
      <c r="E778" t="inlineStr">
        <is>
          <t>UMEÅ</t>
        </is>
      </c>
      <c r="G778" t="n">
        <v>1.5</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HYPERLINK("https://klasma.github.io/Logging_2480/artfynd/A 4468-2024 artfynd.xlsx", "A 4468-2024")</f>
        <v/>
      </c>
      <c r="T778">
        <f>HYPERLINK("https://klasma.github.io/Logging_2480/kartor/A 4468-2024 karta.png", "A 4468-2024")</f>
        <v/>
      </c>
      <c r="V778">
        <f>HYPERLINK("https://klasma.github.io/Logging_2480/klagomål/A 4468-2024 FSC-klagomål.docx", "A 4468-2024")</f>
        <v/>
      </c>
      <c r="W778">
        <f>HYPERLINK("https://klasma.github.io/Logging_2480/klagomålsmail/A 4468-2024 FSC-klagomål mail.docx", "A 4468-2024")</f>
        <v/>
      </c>
      <c r="X778">
        <f>HYPERLINK("https://klasma.github.io/Logging_2480/tillsyn/A 4468-2024 tillsynsbegäran.docx", "A 4468-2024")</f>
        <v/>
      </c>
      <c r="Y778">
        <f>HYPERLINK("https://klasma.github.io/Logging_2480/tillsynsmail/A 4468-2024 tillsynsbegäran mail.docx", "A 4468-2024")</f>
        <v/>
      </c>
      <c r="Z778">
        <f>HYPERLINK("https://klasma.github.io/Logging_2480/fåglar/A 4468-2024 prioriterade fågelarter.docx", "A 4468-2024")</f>
        <v/>
      </c>
    </row>
    <row r="779" ht="15" customHeight="1">
      <c r="A779" t="inlineStr">
        <is>
          <t>A 5547-2024</t>
        </is>
      </c>
      <c r="B779" s="1" t="n">
        <v>45334</v>
      </c>
      <c r="C779" s="1" t="n">
        <v>45788</v>
      </c>
      <c r="D779" t="inlineStr">
        <is>
          <t>VÄSTERBOTTENS LÄN</t>
        </is>
      </c>
      <c r="E779" t="inlineStr">
        <is>
          <t>ROBERTSFORS</t>
        </is>
      </c>
      <c r="F779" t="inlineStr">
        <is>
          <t>Holmen skog AB</t>
        </is>
      </c>
      <c r="G779" t="n">
        <v>2</v>
      </c>
      <c r="H779" t="n">
        <v>1</v>
      </c>
      <c r="I779" t="n">
        <v>1</v>
      </c>
      <c r="J779" t="n">
        <v>2</v>
      </c>
      <c r="K779" t="n">
        <v>0</v>
      </c>
      <c r="L779" t="n">
        <v>0</v>
      </c>
      <c r="M779" t="n">
        <v>0</v>
      </c>
      <c r="N779" t="n">
        <v>0</v>
      </c>
      <c r="O779" t="n">
        <v>2</v>
      </c>
      <c r="P779" t="n">
        <v>0</v>
      </c>
      <c r="Q779" t="n">
        <v>3</v>
      </c>
      <c r="R779" s="2" t="inlineStr">
        <is>
          <t>Tretåig hackspett
Ullticka
Vedticka</t>
        </is>
      </c>
      <c r="S779">
        <f>HYPERLINK("https://klasma.github.io/Logging_2409/artfynd/A 5547-2024 artfynd.xlsx", "A 5547-2024")</f>
        <v/>
      </c>
      <c r="T779">
        <f>HYPERLINK("https://klasma.github.io/Logging_2409/kartor/A 5547-2024 karta.png", "A 5547-2024")</f>
        <v/>
      </c>
      <c r="V779">
        <f>HYPERLINK("https://klasma.github.io/Logging_2409/klagomål/A 5547-2024 FSC-klagomål.docx", "A 5547-2024")</f>
        <v/>
      </c>
      <c r="W779">
        <f>HYPERLINK("https://klasma.github.io/Logging_2409/klagomålsmail/A 5547-2024 FSC-klagomål mail.docx", "A 5547-2024")</f>
        <v/>
      </c>
      <c r="X779">
        <f>HYPERLINK("https://klasma.github.io/Logging_2409/tillsyn/A 5547-2024 tillsynsbegäran.docx", "A 5547-2024")</f>
        <v/>
      </c>
      <c r="Y779">
        <f>HYPERLINK("https://klasma.github.io/Logging_2409/tillsynsmail/A 5547-2024 tillsynsbegäran mail.docx", "A 5547-2024")</f>
        <v/>
      </c>
      <c r="Z779">
        <f>HYPERLINK("https://klasma.github.io/Logging_2409/fåglar/A 5547-2024 prioriterade fågelarter.docx", "A 5547-2024")</f>
        <v/>
      </c>
    </row>
    <row r="780" ht="15" customHeight="1">
      <c r="A780" t="inlineStr">
        <is>
          <t>A 6461-2024</t>
        </is>
      </c>
      <c r="B780" s="1" t="n">
        <v>45338</v>
      </c>
      <c r="C780" s="1" t="n">
        <v>45788</v>
      </c>
      <c r="D780" t="inlineStr">
        <is>
          <t>VÄSTERBOTTENS LÄN</t>
        </is>
      </c>
      <c r="E780" t="inlineStr">
        <is>
          <t>VINDELN</t>
        </is>
      </c>
      <c r="G780" t="n">
        <v>1.8</v>
      </c>
      <c r="H780" t="n">
        <v>0</v>
      </c>
      <c r="I780" t="n">
        <v>1</v>
      </c>
      <c r="J780" t="n">
        <v>1</v>
      </c>
      <c r="K780" t="n">
        <v>1</v>
      </c>
      <c r="L780" t="n">
        <v>0</v>
      </c>
      <c r="M780" t="n">
        <v>0</v>
      </c>
      <c r="N780" t="n">
        <v>0</v>
      </c>
      <c r="O780" t="n">
        <v>2</v>
      </c>
      <c r="P780" t="n">
        <v>1</v>
      </c>
      <c r="Q780" t="n">
        <v>3</v>
      </c>
      <c r="R780" s="2" t="inlineStr">
        <is>
          <t>Goliatmusseron
Tallriska
Skarp dropptaggsvamp</t>
        </is>
      </c>
      <c r="S780">
        <f>HYPERLINK("https://klasma.github.io/Logging_2404/artfynd/A 6461-2024 artfynd.xlsx", "A 6461-2024")</f>
        <v/>
      </c>
      <c r="T780">
        <f>HYPERLINK("https://klasma.github.io/Logging_2404/kartor/A 6461-2024 karta.png", "A 6461-2024")</f>
        <v/>
      </c>
      <c r="V780">
        <f>HYPERLINK("https://klasma.github.io/Logging_2404/klagomål/A 6461-2024 FSC-klagomål.docx", "A 6461-2024")</f>
        <v/>
      </c>
      <c r="W780">
        <f>HYPERLINK("https://klasma.github.io/Logging_2404/klagomålsmail/A 6461-2024 FSC-klagomål mail.docx", "A 6461-2024")</f>
        <v/>
      </c>
      <c r="X780">
        <f>HYPERLINK("https://klasma.github.io/Logging_2404/tillsyn/A 6461-2024 tillsynsbegäran.docx", "A 6461-2024")</f>
        <v/>
      </c>
      <c r="Y780">
        <f>HYPERLINK("https://klasma.github.io/Logging_2404/tillsynsmail/A 6461-2024 tillsynsbegäran mail.docx", "A 6461-2024")</f>
        <v/>
      </c>
    </row>
    <row r="781" ht="15" customHeight="1">
      <c r="A781" t="inlineStr">
        <is>
          <t>A 9664-2024</t>
        </is>
      </c>
      <c r="B781" s="1" t="n">
        <v>45362</v>
      </c>
      <c r="C781" s="1" t="n">
        <v>45788</v>
      </c>
      <c r="D781" t="inlineStr">
        <is>
          <t>VÄSTERBOTTENS LÄN</t>
        </is>
      </c>
      <c r="E781" t="inlineStr">
        <is>
          <t>NORDMALING</t>
        </is>
      </c>
      <c r="G781" t="n">
        <v>3.9</v>
      </c>
      <c r="H781" t="n">
        <v>0</v>
      </c>
      <c r="I781" t="n">
        <v>0</v>
      </c>
      <c r="J781" t="n">
        <v>3</v>
      </c>
      <c r="K781" t="n">
        <v>0</v>
      </c>
      <c r="L781" t="n">
        <v>0</v>
      </c>
      <c r="M781" t="n">
        <v>0</v>
      </c>
      <c r="N781" t="n">
        <v>0</v>
      </c>
      <c r="O781" t="n">
        <v>3</v>
      </c>
      <c r="P781" t="n">
        <v>0</v>
      </c>
      <c r="Q781" t="n">
        <v>3</v>
      </c>
      <c r="R781" s="2" t="inlineStr">
        <is>
          <t>Granticka
Gränsticka
Ullticka</t>
        </is>
      </c>
      <c r="S781">
        <f>HYPERLINK("https://klasma.github.io/Logging_2401/artfynd/A 9664-2024 artfynd.xlsx", "A 9664-2024")</f>
        <v/>
      </c>
      <c r="T781">
        <f>HYPERLINK("https://klasma.github.io/Logging_2401/kartor/A 9664-2024 karta.png", "A 9664-2024")</f>
        <v/>
      </c>
      <c r="V781">
        <f>HYPERLINK("https://klasma.github.io/Logging_2401/klagomål/A 9664-2024 FSC-klagomål.docx", "A 9664-2024")</f>
        <v/>
      </c>
      <c r="W781">
        <f>HYPERLINK("https://klasma.github.io/Logging_2401/klagomålsmail/A 9664-2024 FSC-klagomål mail.docx", "A 9664-2024")</f>
        <v/>
      </c>
      <c r="X781">
        <f>HYPERLINK("https://klasma.github.io/Logging_2401/tillsyn/A 9664-2024 tillsynsbegäran.docx", "A 9664-2024")</f>
        <v/>
      </c>
      <c r="Y781">
        <f>HYPERLINK("https://klasma.github.io/Logging_2401/tillsynsmail/A 9664-2024 tillsynsbegäran mail.docx", "A 9664-2024")</f>
        <v/>
      </c>
    </row>
    <row r="782" ht="15" customHeight="1">
      <c r="A782" t="inlineStr">
        <is>
          <t>A 14520-2024</t>
        </is>
      </c>
      <c r="B782" s="1" t="n">
        <v>45394</v>
      </c>
      <c r="C782" s="1" t="n">
        <v>45788</v>
      </c>
      <c r="D782" t="inlineStr">
        <is>
          <t>VÄSTERBOTTENS LÄN</t>
        </is>
      </c>
      <c r="E782" t="inlineStr">
        <is>
          <t>SORSELE</t>
        </is>
      </c>
      <c r="F782" t="inlineStr">
        <is>
          <t>Sveaskog</t>
        </is>
      </c>
      <c r="G782" t="n">
        <v>10</v>
      </c>
      <c r="H782" t="n">
        <v>1</v>
      </c>
      <c r="I782" t="n">
        <v>1</v>
      </c>
      <c r="J782" t="n">
        <v>2</v>
      </c>
      <c r="K782" t="n">
        <v>0</v>
      </c>
      <c r="L782" t="n">
        <v>0</v>
      </c>
      <c r="M782" t="n">
        <v>0</v>
      </c>
      <c r="N782" t="n">
        <v>0</v>
      </c>
      <c r="O782" t="n">
        <v>2</v>
      </c>
      <c r="P782" t="n">
        <v>0</v>
      </c>
      <c r="Q782" t="n">
        <v>3</v>
      </c>
      <c r="R782" s="2" t="inlineStr">
        <is>
          <t>Skrovellav
Talltita
Stuplav</t>
        </is>
      </c>
      <c r="S782">
        <f>HYPERLINK("https://klasma.github.io/Logging_2422/artfynd/A 14520-2024 artfynd.xlsx", "A 14520-2024")</f>
        <v/>
      </c>
      <c r="T782">
        <f>HYPERLINK("https://klasma.github.io/Logging_2422/kartor/A 14520-2024 karta.png", "A 14520-2024")</f>
        <v/>
      </c>
      <c r="V782">
        <f>HYPERLINK("https://klasma.github.io/Logging_2422/klagomål/A 14520-2024 FSC-klagomål.docx", "A 14520-2024")</f>
        <v/>
      </c>
      <c r="W782">
        <f>HYPERLINK("https://klasma.github.io/Logging_2422/klagomålsmail/A 14520-2024 FSC-klagomål mail.docx", "A 14520-2024")</f>
        <v/>
      </c>
      <c r="X782">
        <f>HYPERLINK("https://klasma.github.io/Logging_2422/tillsyn/A 14520-2024 tillsynsbegäran.docx", "A 14520-2024")</f>
        <v/>
      </c>
      <c r="Y782">
        <f>HYPERLINK("https://klasma.github.io/Logging_2422/tillsynsmail/A 14520-2024 tillsynsbegäran mail.docx", "A 14520-2024")</f>
        <v/>
      </c>
      <c r="Z782">
        <f>HYPERLINK("https://klasma.github.io/Logging_2422/fåglar/A 14520-2024 prioriterade fågelarter.docx", "A 14520-2024")</f>
        <v/>
      </c>
    </row>
    <row r="783" ht="15" customHeight="1">
      <c r="A783" t="inlineStr">
        <is>
          <t>A 14641-2024</t>
        </is>
      </c>
      <c r="B783" s="1" t="n">
        <v>45397</v>
      </c>
      <c r="C783" s="1" t="n">
        <v>45788</v>
      </c>
      <c r="D783" t="inlineStr">
        <is>
          <t>VÄSTERBOTTENS LÄN</t>
        </is>
      </c>
      <c r="E783" t="inlineStr">
        <is>
          <t>SKELLEFTEÅ</t>
        </is>
      </c>
      <c r="G783" t="n">
        <v>0.5</v>
      </c>
      <c r="H783" t="n">
        <v>1</v>
      </c>
      <c r="I783" t="n">
        <v>0</v>
      </c>
      <c r="J783" t="n">
        <v>2</v>
      </c>
      <c r="K783" t="n">
        <v>1</v>
      </c>
      <c r="L783" t="n">
        <v>0</v>
      </c>
      <c r="M783" t="n">
        <v>0</v>
      </c>
      <c r="N783" t="n">
        <v>0</v>
      </c>
      <c r="O783" t="n">
        <v>3</v>
      </c>
      <c r="P783" t="n">
        <v>1</v>
      </c>
      <c r="Q783" t="n">
        <v>3</v>
      </c>
      <c r="R783" s="2" t="inlineStr">
        <is>
          <t>Knärot
Violettgrå tagellav
Vitgrynig nållav</t>
        </is>
      </c>
      <c r="S783">
        <f>HYPERLINK("https://klasma.github.io/Logging_2482/artfynd/A 14641-2024 artfynd.xlsx", "A 14641-2024")</f>
        <v/>
      </c>
      <c r="T783">
        <f>HYPERLINK("https://klasma.github.io/Logging_2482/kartor/A 14641-2024 karta.png", "A 14641-2024")</f>
        <v/>
      </c>
      <c r="U783">
        <f>HYPERLINK("https://klasma.github.io/Logging_2482/knärot/A 14641-2024 karta knärot.png", "A 14641-2024")</f>
        <v/>
      </c>
      <c r="V783">
        <f>HYPERLINK("https://klasma.github.io/Logging_2482/klagomål/A 14641-2024 FSC-klagomål.docx", "A 14641-2024")</f>
        <v/>
      </c>
      <c r="W783">
        <f>HYPERLINK("https://klasma.github.io/Logging_2482/klagomålsmail/A 14641-2024 FSC-klagomål mail.docx", "A 14641-2024")</f>
        <v/>
      </c>
      <c r="X783">
        <f>HYPERLINK("https://klasma.github.io/Logging_2482/tillsyn/A 14641-2024 tillsynsbegäran.docx", "A 14641-2024")</f>
        <v/>
      </c>
      <c r="Y783">
        <f>HYPERLINK("https://klasma.github.io/Logging_2482/tillsynsmail/A 14641-2024 tillsynsbegäran mail.docx", "A 14641-2024")</f>
        <v/>
      </c>
    </row>
    <row r="784" ht="15" customHeight="1">
      <c r="A784" t="inlineStr">
        <is>
          <t>A 20012-2024</t>
        </is>
      </c>
      <c r="B784" s="1" t="n">
        <v>45433</v>
      </c>
      <c r="C784" s="1" t="n">
        <v>45788</v>
      </c>
      <c r="D784" t="inlineStr">
        <is>
          <t>VÄSTERBOTTENS LÄN</t>
        </is>
      </c>
      <c r="E784" t="inlineStr">
        <is>
          <t>BJURHOLM</t>
        </is>
      </c>
      <c r="F784" t="inlineStr">
        <is>
          <t>SCA</t>
        </is>
      </c>
      <c r="G784" t="n">
        <v>27.2</v>
      </c>
      <c r="H784" t="n">
        <v>2</v>
      </c>
      <c r="I784" t="n">
        <v>0</v>
      </c>
      <c r="J784" t="n">
        <v>2</v>
      </c>
      <c r="K784" t="n">
        <v>0</v>
      </c>
      <c r="L784" t="n">
        <v>0</v>
      </c>
      <c r="M784" t="n">
        <v>0</v>
      </c>
      <c r="N784" t="n">
        <v>0</v>
      </c>
      <c r="O784" t="n">
        <v>2</v>
      </c>
      <c r="P784" t="n">
        <v>0</v>
      </c>
      <c r="Q784" t="n">
        <v>3</v>
      </c>
      <c r="R784" s="2" t="inlineStr">
        <is>
          <t>Garnlav
Spillkråka
Revlummer</t>
        </is>
      </c>
      <c r="S784">
        <f>HYPERLINK("https://klasma.github.io/Logging_2403/artfynd/A 20012-2024 artfynd.xlsx", "A 20012-2024")</f>
        <v/>
      </c>
      <c r="T784">
        <f>HYPERLINK("https://klasma.github.io/Logging_2403/kartor/A 20012-2024 karta.png", "A 20012-2024")</f>
        <v/>
      </c>
      <c r="V784">
        <f>HYPERLINK("https://klasma.github.io/Logging_2403/klagomål/A 20012-2024 FSC-klagomål.docx", "A 20012-2024")</f>
        <v/>
      </c>
      <c r="W784">
        <f>HYPERLINK("https://klasma.github.io/Logging_2403/klagomålsmail/A 20012-2024 FSC-klagomål mail.docx", "A 20012-2024")</f>
        <v/>
      </c>
      <c r="X784">
        <f>HYPERLINK("https://klasma.github.io/Logging_2403/tillsyn/A 20012-2024 tillsynsbegäran.docx", "A 20012-2024")</f>
        <v/>
      </c>
      <c r="Y784">
        <f>HYPERLINK("https://klasma.github.io/Logging_2403/tillsynsmail/A 20012-2024 tillsynsbegäran mail.docx", "A 20012-2024")</f>
        <v/>
      </c>
      <c r="Z784">
        <f>HYPERLINK("https://klasma.github.io/Logging_2403/fåglar/A 20012-2024 prioriterade fågelarter.docx", "A 20012-2024")</f>
        <v/>
      </c>
    </row>
    <row r="785" ht="15" customHeight="1">
      <c r="A785" t="inlineStr">
        <is>
          <t>A 22655-2024</t>
        </is>
      </c>
      <c r="B785" s="1" t="n">
        <v>45447</v>
      </c>
      <c r="C785" s="1" t="n">
        <v>45788</v>
      </c>
      <c r="D785" t="inlineStr">
        <is>
          <t>VÄSTERBOTTENS LÄN</t>
        </is>
      </c>
      <c r="E785" t="inlineStr">
        <is>
          <t>ROBERTSFORS</t>
        </is>
      </c>
      <c r="G785" t="n">
        <v>4.9</v>
      </c>
      <c r="H785" t="n">
        <v>0</v>
      </c>
      <c r="I785" t="n">
        <v>0</v>
      </c>
      <c r="J785" t="n">
        <v>3</v>
      </c>
      <c r="K785" t="n">
        <v>0</v>
      </c>
      <c r="L785" t="n">
        <v>0</v>
      </c>
      <c r="M785" t="n">
        <v>0</v>
      </c>
      <c r="N785" t="n">
        <v>0</v>
      </c>
      <c r="O785" t="n">
        <v>3</v>
      </c>
      <c r="P785" t="n">
        <v>0</v>
      </c>
      <c r="Q785" t="n">
        <v>3</v>
      </c>
      <c r="R785" s="2" t="inlineStr">
        <is>
          <t>Garnlav
Tallticka
Ullticka</t>
        </is>
      </c>
      <c r="S785">
        <f>HYPERLINK("https://klasma.github.io/Logging_2409/artfynd/A 22655-2024 artfynd.xlsx", "A 22655-2024")</f>
        <v/>
      </c>
      <c r="T785">
        <f>HYPERLINK("https://klasma.github.io/Logging_2409/kartor/A 22655-2024 karta.png", "A 22655-2024")</f>
        <v/>
      </c>
      <c r="V785">
        <f>HYPERLINK("https://klasma.github.io/Logging_2409/klagomål/A 22655-2024 FSC-klagomål.docx", "A 22655-2024")</f>
        <v/>
      </c>
      <c r="W785">
        <f>HYPERLINK("https://klasma.github.io/Logging_2409/klagomålsmail/A 22655-2024 FSC-klagomål mail.docx", "A 22655-2024")</f>
        <v/>
      </c>
      <c r="X785">
        <f>HYPERLINK("https://klasma.github.io/Logging_2409/tillsyn/A 22655-2024 tillsynsbegäran.docx", "A 22655-2024")</f>
        <v/>
      </c>
      <c r="Y785">
        <f>HYPERLINK("https://klasma.github.io/Logging_2409/tillsynsmail/A 22655-2024 tillsynsbegäran mail.docx", "A 22655-2024")</f>
        <v/>
      </c>
    </row>
    <row r="786" ht="15" customHeight="1">
      <c r="A786" t="inlineStr">
        <is>
          <t>A 23750-2024</t>
        </is>
      </c>
      <c r="B786" s="1" t="n">
        <v>45455</v>
      </c>
      <c r="C786" s="1" t="n">
        <v>45788</v>
      </c>
      <c r="D786" t="inlineStr">
        <is>
          <t>VÄSTERBOTTENS LÄN</t>
        </is>
      </c>
      <c r="E786" t="inlineStr">
        <is>
          <t>SKELLEFTEÅ</t>
        </is>
      </c>
      <c r="G786" t="n">
        <v>2.8</v>
      </c>
      <c r="H786" t="n">
        <v>0</v>
      </c>
      <c r="I786" t="n">
        <v>0</v>
      </c>
      <c r="J786" t="n">
        <v>3</v>
      </c>
      <c r="K786" t="n">
        <v>0</v>
      </c>
      <c r="L786" t="n">
        <v>0</v>
      </c>
      <c r="M786" t="n">
        <v>0</v>
      </c>
      <c r="N786" t="n">
        <v>0</v>
      </c>
      <c r="O786" t="n">
        <v>3</v>
      </c>
      <c r="P786" t="n">
        <v>0</v>
      </c>
      <c r="Q786" t="n">
        <v>3</v>
      </c>
      <c r="R786" s="2" t="inlineStr">
        <is>
          <t>Gammelgransskål
Garnlav
Ullticka</t>
        </is>
      </c>
      <c r="S786">
        <f>HYPERLINK("https://klasma.github.io/Logging_2482/artfynd/A 23750-2024 artfynd.xlsx", "A 23750-2024")</f>
        <v/>
      </c>
      <c r="T786">
        <f>HYPERLINK("https://klasma.github.io/Logging_2482/kartor/A 23750-2024 karta.png", "A 23750-2024")</f>
        <v/>
      </c>
      <c r="V786">
        <f>HYPERLINK("https://klasma.github.io/Logging_2482/klagomål/A 23750-2024 FSC-klagomål.docx", "A 23750-2024")</f>
        <v/>
      </c>
      <c r="W786">
        <f>HYPERLINK("https://klasma.github.io/Logging_2482/klagomålsmail/A 23750-2024 FSC-klagomål mail.docx", "A 23750-2024")</f>
        <v/>
      </c>
      <c r="X786">
        <f>HYPERLINK("https://klasma.github.io/Logging_2482/tillsyn/A 23750-2024 tillsynsbegäran.docx", "A 23750-2024")</f>
        <v/>
      </c>
      <c r="Y786">
        <f>HYPERLINK("https://klasma.github.io/Logging_2482/tillsynsmail/A 23750-2024 tillsynsbegäran mail.docx", "A 23750-2024")</f>
        <v/>
      </c>
    </row>
    <row r="787" ht="15" customHeight="1">
      <c r="A787" t="inlineStr">
        <is>
          <t>A 26049-2024</t>
        </is>
      </c>
      <c r="B787" s="1" t="n">
        <v>45468</v>
      </c>
      <c r="C787" s="1" t="n">
        <v>45788</v>
      </c>
      <c r="D787" t="inlineStr">
        <is>
          <t>VÄSTERBOTTENS LÄN</t>
        </is>
      </c>
      <c r="E787" t="inlineStr">
        <is>
          <t>BJURHOLM</t>
        </is>
      </c>
      <c r="F787" t="inlineStr">
        <is>
          <t>Holmen skog AB</t>
        </is>
      </c>
      <c r="G787" t="n">
        <v>7.4</v>
      </c>
      <c r="H787" t="n">
        <v>0</v>
      </c>
      <c r="I787" t="n">
        <v>1</v>
      </c>
      <c r="J787" t="n">
        <v>2</v>
      </c>
      <c r="K787" t="n">
        <v>0</v>
      </c>
      <c r="L787" t="n">
        <v>0</v>
      </c>
      <c r="M787" t="n">
        <v>0</v>
      </c>
      <c r="N787" t="n">
        <v>0</v>
      </c>
      <c r="O787" t="n">
        <v>2</v>
      </c>
      <c r="P787" t="n">
        <v>0</v>
      </c>
      <c r="Q787" t="n">
        <v>3</v>
      </c>
      <c r="R787" s="2" t="inlineStr">
        <is>
          <t>Gammelgransskål
Garnlav
Vedticka</t>
        </is>
      </c>
      <c r="S787">
        <f>HYPERLINK("https://klasma.github.io/Logging_2403/artfynd/A 26049-2024 artfynd.xlsx", "A 26049-2024")</f>
        <v/>
      </c>
      <c r="T787">
        <f>HYPERLINK("https://klasma.github.io/Logging_2403/kartor/A 26049-2024 karta.png", "A 26049-2024")</f>
        <v/>
      </c>
      <c r="V787">
        <f>HYPERLINK("https://klasma.github.io/Logging_2403/klagomål/A 26049-2024 FSC-klagomål.docx", "A 26049-2024")</f>
        <v/>
      </c>
      <c r="W787">
        <f>HYPERLINK("https://klasma.github.io/Logging_2403/klagomålsmail/A 26049-2024 FSC-klagomål mail.docx", "A 26049-2024")</f>
        <v/>
      </c>
      <c r="X787">
        <f>HYPERLINK("https://klasma.github.io/Logging_2403/tillsyn/A 26049-2024 tillsynsbegäran.docx", "A 26049-2024")</f>
        <v/>
      </c>
      <c r="Y787">
        <f>HYPERLINK("https://klasma.github.io/Logging_2403/tillsynsmail/A 26049-2024 tillsynsbegäran mail.docx", "A 26049-2024")</f>
        <v/>
      </c>
    </row>
    <row r="788" ht="15" customHeight="1">
      <c r="A788" t="inlineStr">
        <is>
          <t>A 27290-2024</t>
        </is>
      </c>
      <c r="B788" s="1" t="n">
        <v>45472</v>
      </c>
      <c r="C788" s="1" t="n">
        <v>45788</v>
      </c>
      <c r="D788" t="inlineStr">
        <is>
          <t>VÄSTERBOTTENS LÄN</t>
        </is>
      </c>
      <c r="E788" t="inlineStr">
        <is>
          <t>SKELLEFTEÅ</t>
        </is>
      </c>
      <c r="G788" t="n">
        <v>2.6</v>
      </c>
      <c r="H788" t="n">
        <v>0</v>
      </c>
      <c r="I788" t="n">
        <v>0</v>
      </c>
      <c r="J788" t="n">
        <v>3</v>
      </c>
      <c r="K788" t="n">
        <v>0</v>
      </c>
      <c r="L788" t="n">
        <v>0</v>
      </c>
      <c r="M788" t="n">
        <v>0</v>
      </c>
      <c r="N788" t="n">
        <v>0</v>
      </c>
      <c r="O788" t="n">
        <v>3</v>
      </c>
      <c r="P788" t="n">
        <v>0</v>
      </c>
      <c r="Q788" t="n">
        <v>3</v>
      </c>
      <c r="R788" s="2" t="inlineStr">
        <is>
          <t>Granticka
Rosenticka
Ullticka</t>
        </is>
      </c>
      <c r="S788">
        <f>HYPERLINK("https://klasma.github.io/Logging_2482/artfynd/A 27290-2024 artfynd.xlsx", "A 27290-2024")</f>
        <v/>
      </c>
      <c r="T788">
        <f>HYPERLINK("https://klasma.github.io/Logging_2482/kartor/A 27290-2024 karta.png", "A 27290-2024")</f>
        <v/>
      </c>
      <c r="V788">
        <f>HYPERLINK("https://klasma.github.io/Logging_2482/klagomål/A 27290-2024 FSC-klagomål.docx", "A 27290-2024")</f>
        <v/>
      </c>
      <c r="W788">
        <f>HYPERLINK("https://klasma.github.io/Logging_2482/klagomålsmail/A 27290-2024 FSC-klagomål mail.docx", "A 27290-2024")</f>
        <v/>
      </c>
      <c r="X788">
        <f>HYPERLINK("https://klasma.github.io/Logging_2482/tillsyn/A 27290-2024 tillsynsbegäran.docx", "A 27290-2024")</f>
        <v/>
      </c>
      <c r="Y788">
        <f>HYPERLINK("https://klasma.github.io/Logging_2482/tillsynsmail/A 27290-2024 tillsynsbegäran mail.docx", "A 27290-2024")</f>
        <v/>
      </c>
    </row>
    <row r="789" ht="15" customHeight="1">
      <c r="A789" t="inlineStr">
        <is>
          <t>A 27518-2024</t>
        </is>
      </c>
      <c r="B789" s="1" t="n">
        <v>45474</v>
      </c>
      <c r="C789" s="1" t="n">
        <v>45788</v>
      </c>
      <c r="D789" t="inlineStr">
        <is>
          <t>VÄSTERBOTTENS LÄN</t>
        </is>
      </c>
      <c r="E789" t="inlineStr">
        <is>
          <t>VINDELN</t>
        </is>
      </c>
      <c r="F789" t="inlineStr">
        <is>
          <t>Holmen skog AB</t>
        </is>
      </c>
      <c r="G789" t="n">
        <v>1.2</v>
      </c>
      <c r="H789" t="n">
        <v>1</v>
      </c>
      <c r="I789" t="n">
        <v>2</v>
      </c>
      <c r="J789" t="n">
        <v>1</v>
      </c>
      <c r="K789" t="n">
        <v>0</v>
      </c>
      <c r="L789" t="n">
        <v>0</v>
      </c>
      <c r="M789" t="n">
        <v>0</v>
      </c>
      <c r="N789" t="n">
        <v>0</v>
      </c>
      <c r="O789" t="n">
        <v>1</v>
      </c>
      <c r="P789" t="n">
        <v>0</v>
      </c>
      <c r="Q789" t="n">
        <v>3</v>
      </c>
      <c r="R789" s="2" t="inlineStr">
        <is>
          <t>Spillkråka
Bronshjon
Bårdlav</t>
        </is>
      </c>
      <c r="S789">
        <f>HYPERLINK("https://klasma.github.io/Logging_2404/artfynd/A 27518-2024 artfynd.xlsx", "A 27518-2024")</f>
        <v/>
      </c>
      <c r="T789">
        <f>HYPERLINK("https://klasma.github.io/Logging_2404/kartor/A 27518-2024 karta.png", "A 27518-2024")</f>
        <v/>
      </c>
      <c r="V789">
        <f>HYPERLINK("https://klasma.github.io/Logging_2404/klagomål/A 27518-2024 FSC-klagomål.docx", "A 27518-2024")</f>
        <v/>
      </c>
      <c r="W789">
        <f>HYPERLINK("https://klasma.github.io/Logging_2404/klagomålsmail/A 27518-2024 FSC-klagomål mail.docx", "A 27518-2024")</f>
        <v/>
      </c>
      <c r="X789">
        <f>HYPERLINK("https://klasma.github.io/Logging_2404/tillsyn/A 27518-2024 tillsynsbegäran.docx", "A 27518-2024")</f>
        <v/>
      </c>
      <c r="Y789">
        <f>HYPERLINK("https://klasma.github.io/Logging_2404/tillsynsmail/A 27518-2024 tillsynsbegäran mail.docx", "A 27518-2024")</f>
        <v/>
      </c>
      <c r="Z789">
        <f>HYPERLINK("https://klasma.github.io/Logging_2404/fåglar/A 27518-2024 prioriterade fågelarter.docx", "A 27518-2024")</f>
        <v/>
      </c>
    </row>
    <row r="790" ht="15" customHeight="1">
      <c r="A790" t="inlineStr">
        <is>
          <t>A 30534-2024</t>
        </is>
      </c>
      <c r="B790" s="1" t="n">
        <v>45492</v>
      </c>
      <c r="C790" s="1" t="n">
        <v>45788</v>
      </c>
      <c r="D790" t="inlineStr">
        <is>
          <t>VÄSTERBOTTENS LÄN</t>
        </is>
      </c>
      <c r="E790" t="inlineStr">
        <is>
          <t>SKELLEFTEÅ</t>
        </is>
      </c>
      <c r="F790" t="inlineStr">
        <is>
          <t>Holmen skog AB</t>
        </is>
      </c>
      <c r="G790" t="n">
        <v>6.5</v>
      </c>
      <c r="H790" t="n">
        <v>0</v>
      </c>
      <c r="I790" t="n">
        <v>2</v>
      </c>
      <c r="J790" t="n">
        <v>1</v>
      </c>
      <c r="K790" t="n">
        <v>0</v>
      </c>
      <c r="L790" t="n">
        <v>0</v>
      </c>
      <c r="M790" t="n">
        <v>0</v>
      </c>
      <c r="N790" t="n">
        <v>0</v>
      </c>
      <c r="O790" t="n">
        <v>1</v>
      </c>
      <c r="P790" t="n">
        <v>0</v>
      </c>
      <c r="Q790" t="n">
        <v>3</v>
      </c>
      <c r="R790" s="2" t="inlineStr">
        <is>
          <t>Garnlav
Dropptaggsvamp
Skinnlav</t>
        </is>
      </c>
      <c r="S790">
        <f>HYPERLINK("https://klasma.github.io/Logging_2482/artfynd/A 30534-2024 artfynd.xlsx", "A 30534-2024")</f>
        <v/>
      </c>
      <c r="T790">
        <f>HYPERLINK("https://klasma.github.io/Logging_2482/kartor/A 30534-2024 karta.png", "A 30534-2024")</f>
        <v/>
      </c>
      <c r="V790">
        <f>HYPERLINK("https://klasma.github.io/Logging_2482/klagomål/A 30534-2024 FSC-klagomål.docx", "A 30534-2024")</f>
        <v/>
      </c>
      <c r="W790">
        <f>HYPERLINK("https://klasma.github.io/Logging_2482/klagomålsmail/A 30534-2024 FSC-klagomål mail.docx", "A 30534-2024")</f>
        <v/>
      </c>
      <c r="X790">
        <f>HYPERLINK("https://klasma.github.io/Logging_2482/tillsyn/A 30534-2024 tillsynsbegäran.docx", "A 30534-2024")</f>
        <v/>
      </c>
      <c r="Y790">
        <f>HYPERLINK("https://klasma.github.io/Logging_2482/tillsynsmail/A 30534-2024 tillsynsbegäran mail.docx", "A 30534-2024")</f>
        <v/>
      </c>
    </row>
    <row r="791" ht="15" customHeight="1">
      <c r="A791" t="inlineStr">
        <is>
          <t>A 33529-2024</t>
        </is>
      </c>
      <c r="B791" s="1" t="n">
        <v>45519</v>
      </c>
      <c r="C791" s="1" t="n">
        <v>45788</v>
      </c>
      <c r="D791" t="inlineStr">
        <is>
          <t>VÄSTERBOTTENS LÄN</t>
        </is>
      </c>
      <c r="E791" t="inlineStr">
        <is>
          <t>NORSJÖ</t>
        </is>
      </c>
      <c r="F791" t="inlineStr">
        <is>
          <t>Holmen skog AB</t>
        </is>
      </c>
      <c r="G791" t="n">
        <v>11.8</v>
      </c>
      <c r="H791" t="n">
        <v>0</v>
      </c>
      <c r="I791" t="n">
        <v>2</v>
      </c>
      <c r="J791" t="n">
        <v>1</v>
      </c>
      <c r="K791" t="n">
        <v>0</v>
      </c>
      <c r="L791" t="n">
        <v>0</v>
      </c>
      <c r="M791" t="n">
        <v>0</v>
      </c>
      <c r="N791" t="n">
        <v>0</v>
      </c>
      <c r="O791" t="n">
        <v>1</v>
      </c>
      <c r="P791" t="n">
        <v>0</v>
      </c>
      <c r="Q791" t="n">
        <v>3</v>
      </c>
      <c r="R791" s="2" t="inlineStr">
        <is>
          <t>Lunglav
Bårdlav
Skinnlav</t>
        </is>
      </c>
      <c r="S791">
        <f>HYPERLINK("https://klasma.github.io/Logging_2417/artfynd/A 33529-2024 artfynd.xlsx", "A 33529-2024")</f>
        <v/>
      </c>
      <c r="T791">
        <f>HYPERLINK("https://klasma.github.io/Logging_2417/kartor/A 33529-2024 karta.png", "A 33529-2024")</f>
        <v/>
      </c>
      <c r="V791">
        <f>HYPERLINK("https://klasma.github.io/Logging_2417/klagomål/A 33529-2024 FSC-klagomål.docx", "A 33529-2024")</f>
        <v/>
      </c>
      <c r="W791">
        <f>HYPERLINK("https://klasma.github.io/Logging_2417/klagomålsmail/A 33529-2024 FSC-klagomål mail.docx", "A 33529-2024")</f>
        <v/>
      </c>
      <c r="X791">
        <f>HYPERLINK("https://klasma.github.io/Logging_2417/tillsyn/A 33529-2024 tillsynsbegäran.docx", "A 33529-2024")</f>
        <v/>
      </c>
      <c r="Y791">
        <f>HYPERLINK("https://klasma.github.io/Logging_2417/tillsynsmail/A 33529-2024 tillsynsbegäran mail.docx", "A 33529-2024")</f>
        <v/>
      </c>
    </row>
    <row r="792" ht="15" customHeight="1">
      <c r="A792" t="inlineStr">
        <is>
          <t>A 33858-2024</t>
        </is>
      </c>
      <c r="B792" s="1" t="n">
        <v>45520</v>
      </c>
      <c r="C792" s="1" t="n">
        <v>45788</v>
      </c>
      <c r="D792" t="inlineStr">
        <is>
          <t>VÄSTERBOTTENS LÄN</t>
        </is>
      </c>
      <c r="E792" t="inlineStr">
        <is>
          <t>SKELLEFTEÅ</t>
        </is>
      </c>
      <c r="F792" t="inlineStr">
        <is>
          <t>Holmen skog AB</t>
        </is>
      </c>
      <c r="G792" t="n">
        <v>1.5</v>
      </c>
      <c r="H792" t="n">
        <v>0</v>
      </c>
      <c r="I792" t="n">
        <v>1</v>
      </c>
      <c r="J792" t="n">
        <v>2</v>
      </c>
      <c r="K792" t="n">
        <v>0</v>
      </c>
      <c r="L792" t="n">
        <v>0</v>
      </c>
      <c r="M792" t="n">
        <v>0</v>
      </c>
      <c r="N792" t="n">
        <v>0</v>
      </c>
      <c r="O792" t="n">
        <v>2</v>
      </c>
      <c r="P792" t="n">
        <v>0</v>
      </c>
      <c r="Q792" t="n">
        <v>3</v>
      </c>
      <c r="R792" s="2" t="inlineStr">
        <is>
          <t>Gammelgransskål
Garnlav
Dropptaggsvamp</t>
        </is>
      </c>
      <c r="S792">
        <f>HYPERLINK("https://klasma.github.io/Logging_2482/artfynd/A 33858-2024 artfynd.xlsx", "A 33858-2024")</f>
        <v/>
      </c>
      <c r="T792">
        <f>HYPERLINK("https://klasma.github.io/Logging_2482/kartor/A 33858-2024 karta.png", "A 33858-2024")</f>
        <v/>
      </c>
      <c r="V792">
        <f>HYPERLINK("https://klasma.github.io/Logging_2482/klagomål/A 33858-2024 FSC-klagomål.docx", "A 33858-2024")</f>
        <v/>
      </c>
      <c r="W792">
        <f>HYPERLINK("https://klasma.github.io/Logging_2482/klagomålsmail/A 33858-2024 FSC-klagomål mail.docx", "A 33858-2024")</f>
        <v/>
      </c>
      <c r="X792">
        <f>HYPERLINK("https://klasma.github.io/Logging_2482/tillsyn/A 33858-2024 tillsynsbegäran.docx", "A 33858-2024")</f>
        <v/>
      </c>
      <c r="Y792">
        <f>HYPERLINK("https://klasma.github.io/Logging_2482/tillsynsmail/A 33858-2024 tillsynsbegäran mail.docx", "A 33858-2024")</f>
        <v/>
      </c>
    </row>
    <row r="793" ht="15" customHeight="1">
      <c r="A793" t="inlineStr">
        <is>
          <t>A 34667-2024</t>
        </is>
      </c>
      <c r="B793" s="1" t="n">
        <v>45526</v>
      </c>
      <c r="C793" s="1" t="n">
        <v>45788</v>
      </c>
      <c r="D793" t="inlineStr">
        <is>
          <t>VÄSTERBOTTENS LÄN</t>
        </is>
      </c>
      <c r="E793" t="inlineStr">
        <is>
          <t>SKELLEFTEÅ</t>
        </is>
      </c>
      <c r="F793" t="inlineStr">
        <is>
          <t>Holmen skog AB</t>
        </is>
      </c>
      <c r="G793" t="n">
        <v>28.9</v>
      </c>
      <c r="H793" t="n">
        <v>0</v>
      </c>
      <c r="I793" t="n">
        <v>1</v>
      </c>
      <c r="J793" t="n">
        <v>2</v>
      </c>
      <c r="K793" t="n">
        <v>0</v>
      </c>
      <c r="L793" t="n">
        <v>0</v>
      </c>
      <c r="M793" t="n">
        <v>0</v>
      </c>
      <c r="N793" t="n">
        <v>0</v>
      </c>
      <c r="O793" t="n">
        <v>2</v>
      </c>
      <c r="P793" t="n">
        <v>0</v>
      </c>
      <c r="Q793" t="n">
        <v>3</v>
      </c>
      <c r="R793" s="2" t="inlineStr">
        <is>
          <t>Orange taggsvamp
Svart taggsvamp
Dropptaggsvamp</t>
        </is>
      </c>
      <c r="S793">
        <f>HYPERLINK("https://klasma.github.io/Logging_2482/artfynd/A 34667-2024 artfynd.xlsx", "A 34667-2024")</f>
        <v/>
      </c>
      <c r="T793">
        <f>HYPERLINK("https://klasma.github.io/Logging_2482/kartor/A 34667-2024 karta.png", "A 34667-2024")</f>
        <v/>
      </c>
      <c r="V793">
        <f>HYPERLINK("https://klasma.github.io/Logging_2482/klagomål/A 34667-2024 FSC-klagomål.docx", "A 34667-2024")</f>
        <v/>
      </c>
      <c r="W793">
        <f>HYPERLINK("https://klasma.github.io/Logging_2482/klagomålsmail/A 34667-2024 FSC-klagomål mail.docx", "A 34667-2024")</f>
        <v/>
      </c>
      <c r="X793">
        <f>HYPERLINK("https://klasma.github.io/Logging_2482/tillsyn/A 34667-2024 tillsynsbegäran.docx", "A 34667-2024")</f>
        <v/>
      </c>
      <c r="Y793">
        <f>HYPERLINK("https://klasma.github.io/Logging_2482/tillsynsmail/A 34667-2024 tillsynsbegäran mail.docx", "A 34667-2024")</f>
        <v/>
      </c>
    </row>
    <row r="794" ht="15" customHeight="1">
      <c r="A794" t="inlineStr">
        <is>
          <t>A 35678-2024</t>
        </is>
      </c>
      <c r="B794" s="1" t="n">
        <v>45532</v>
      </c>
      <c r="C794" s="1" t="n">
        <v>45788</v>
      </c>
      <c r="D794" t="inlineStr">
        <is>
          <t>VÄSTERBOTTENS LÄN</t>
        </is>
      </c>
      <c r="E794" t="inlineStr">
        <is>
          <t>LYCKSELE</t>
        </is>
      </c>
      <c r="F794" t="inlineStr">
        <is>
          <t>Sveaskog</t>
        </is>
      </c>
      <c r="G794" t="n">
        <v>16.5</v>
      </c>
      <c r="H794" t="n">
        <v>0</v>
      </c>
      <c r="I794" t="n">
        <v>0</v>
      </c>
      <c r="J794" t="n">
        <v>3</v>
      </c>
      <c r="K794" t="n">
        <v>0</v>
      </c>
      <c r="L794" t="n">
        <v>0</v>
      </c>
      <c r="M794" t="n">
        <v>0</v>
      </c>
      <c r="N794" t="n">
        <v>0</v>
      </c>
      <c r="O794" t="n">
        <v>3</v>
      </c>
      <c r="P794" t="n">
        <v>0</v>
      </c>
      <c r="Q794" t="n">
        <v>3</v>
      </c>
      <c r="R794" s="2" t="inlineStr">
        <is>
          <t>Gammelgransskål
Garnlav
Vaddporing</t>
        </is>
      </c>
      <c r="S794">
        <f>HYPERLINK("https://klasma.github.io/Logging_2481/artfynd/A 35678-2024 artfynd.xlsx", "A 35678-2024")</f>
        <v/>
      </c>
      <c r="T794">
        <f>HYPERLINK("https://klasma.github.io/Logging_2481/kartor/A 35678-2024 karta.png", "A 35678-2024")</f>
        <v/>
      </c>
      <c r="V794">
        <f>HYPERLINK("https://klasma.github.io/Logging_2481/klagomål/A 35678-2024 FSC-klagomål.docx", "A 35678-2024")</f>
        <v/>
      </c>
      <c r="W794">
        <f>HYPERLINK("https://klasma.github.io/Logging_2481/klagomålsmail/A 35678-2024 FSC-klagomål mail.docx", "A 35678-2024")</f>
        <v/>
      </c>
      <c r="X794">
        <f>HYPERLINK("https://klasma.github.io/Logging_2481/tillsyn/A 35678-2024 tillsynsbegäran.docx", "A 35678-2024")</f>
        <v/>
      </c>
      <c r="Y794">
        <f>HYPERLINK("https://klasma.github.io/Logging_2481/tillsynsmail/A 35678-2024 tillsynsbegäran mail.docx", "A 35678-2024")</f>
        <v/>
      </c>
    </row>
    <row r="795" ht="15" customHeight="1">
      <c r="A795" t="inlineStr">
        <is>
          <t>A 35743-2024</t>
        </is>
      </c>
      <c r="B795" s="1" t="n">
        <v>45532</v>
      </c>
      <c r="C795" s="1" t="n">
        <v>45788</v>
      </c>
      <c r="D795" t="inlineStr">
        <is>
          <t>VÄSTERBOTTENS LÄN</t>
        </is>
      </c>
      <c r="E795" t="inlineStr">
        <is>
          <t>UMEÅ</t>
        </is>
      </c>
      <c r="G795" t="n">
        <v>15.5</v>
      </c>
      <c r="H795" t="n">
        <v>2</v>
      </c>
      <c r="I795" t="n">
        <v>1</v>
      </c>
      <c r="J795" t="n">
        <v>1</v>
      </c>
      <c r="K795" t="n">
        <v>0</v>
      </c>
      <c r="L795" t="n">
        <v>0</v>
      </c>
      <c r="M795" t="n">
        <v>0</v>
      </c>
      <c r="N795" t="n">
        <v>0</v>
      </c>
      <c r="O795" t="n">
        <v>1</v>
      </c>
      <c r="P795" t="n">
        <v>0</v>
      </c>
      <c r="Q795" t="n">
        <v>3</v>
      </c>
      <c r="R795" s="2" t="inlineStr">
        <is>
          <t>Blanksvart spiklav
Plattlummer
Revlummer</t>
        </is>
      </c>
      <c r="S795">
        <f>HYPERLINK("https://klasma.github.io/Logging_2480/artfynd/A 35743-2024 artfynd.xlsx", "A 35743-2024")</f>
        <v/>
      </c>
      <c r="T795">
        <f>HYPERLINK("https://klasma.github.io/Logging_2480/kartor/A 35743-2024 karta.png", "A 35743-2024")</f>
        <v/>
      </c>
      <c r="V795">
        <f>HYPERLINK("https://klasma.github.io/Logging_2480/klagomål/A 35743-2024 FSC-klagomål.docx", "A 35743-2024")</f>
        <v/>
      </c>
      <c r="W795">
        <f>HYPERLINK("https://klasma.github.io/Logging_2480/klagomålsmail/A 35743-2024 FSC-klagomål mail.docx", "A 35743-2024")</f>
        <v/>
      </c>
      <c r="X795">
        <f>HYPERLINK("https://klasma.github.io/Logging_2480/tillsyn/A 35743-2024 tillsynsbegäran.docx", "A 35743-2024")</f>
        <v/>
      </c>
      <c r="Y795">
        <f>HYPERLINK("https://klasma.github.io/Logging_2480/tillsynsmail/A 35743-2024 tillsynsbegäran mail.docx", "A 35743-2024")</f>
        <v/>
      </c>
    </row>
    <row r="796" ht="15" customHeight="1">
      <c r="A796" t="inlineStr">
        <is>
          <t>A 38006-2024</t>
        </is>
      </c>
      <c r="B796" s="1" t="n">
        <v>45544</v>
      </c>
      <c r="C796" s="1" t="n">
        <v>45788</v>
      </c>
      <c r="D796" t="inlineStr">
        <is>
          <t>VÄSTERBOTTENS LÄN</t>
        </is>
      </c>
      <c r="E796" t="inlineStr">
        <is>
          <t>LYCKSELE</t>
        </is>
      </c>
      <c r="F796" t="inlineStr">
        <is>
          <t>Sveaskog</t>
        </is>
      </c>
      <c r="G796" t="n">
        <v>4.8</v>
      </c>
      <c r="H796" t="n">
        <v>0</v>
      </c>
      <c r="I796" t="n">
        <v>0</v>
      </c>
      <c r="J796" t="n">
        <v>2</v>
      </c>
      <c r="K796" t="n">
        <v>1</v>
      </c>
      <c r="L796" t="n">
        <v>0</v>
      </c>
      <c r="M796" t="n">
        <v>0</v>
      </c>
      <c r="N796" t="n">
        <v>0</v>
      </c>
      <c r="O796" t="n">
        <v>3</v>
      </c>
      <c r="P796" t="n">
        <v>1</v>
      </c>
      <c r="Q796" t="n">
        <v>3</v>
      </c>
      <c r="R796" s="2" t="inlineStr">
        <is>
          <t>Lammticka
Blå taggsvamp
Koralltaggsvamp</t>
        </is>
      </c>
      <c r="S796">
        <f>HYPERLINK("https://klasma.github.io/Logging_2481/artfynd/A 38006-2024 artfynd.xlsx", "A 38006-2024")</f>
        <v/>
      </c>
      <c r="T796">
        <f>HYPERLINK("https://klasma.github.io/Logging_2481/kartor/A 38006-2024 karta.png", "A 38006-2024")</f>
        <v/>
      </c>
      <c r="V796">
        <f>HYPERLINK("https://klasma.github.io/Logging_2481/klagomål/A 38006-2024 FSC-klagomål.docx", "A 38006-2024")</f>
        <v/>
      </c>
      <c r="W796">
        <f>HYPERLINK("https://klasma.github.io/Logging_2481/klagomålsmail/A 38006-2024 FSC-klagomål mail.docx", "A 38006-2024")</f>
        <v/>
      </c>
      <c r="X796">
        <f>HYPERLINK("https://klasma.github.io/Logging_2481/tillsyn/A 38006-2024 tillsynsbegäran.docx", "A 38006-2024")</f>
        <v/>
      </c>
      <c r="Y796">
        <f>HYPERLINK("https://klasma.github.io/Logging_2481/tillsynsmail/A 38006-2024 tillsynsbegäran mail.docx", "A 38006-2024")</f>
        <v/>
      </c>
    </row>
    <row r="797" ht="15" customHeight="1">
      <c r="A797" t="inlineStr">
        <is>
          <t>A 38123-2024</t>
        </is>
      </c>
      <c r="B797" s="1" t="n">
        <v>45545</v>
      </c>
      <c r="C797" s="1" t="n">
        <v>45788</v>
      </c>
      <c r="D797" t="inlineStr">
        <is>
          <t>VÄSTERBOTTENS LÄN</t>
        </is>
      </c>
      <c r="E797" t="inlineStr">
        <is>
          <t>VILHELMINA</t>
        </is>
      </c>
      <c r="F797" t="inlineStr">
        <is>
          <t>SCA</t>
        </is>
      </c>
      <c r="G797" t="n">
        <v>4.8</v>
      </c>
      <c r="H797" t="n">
        <v>2</v>
      </c>
      <c r="I797" t="n">
        <v>0</v>
      </c>
      <c r="J797" t="n">
        <v>3</v>
      </c>
      <c r="K797" t="n">
        <v>0</v>
      </c>
      <c r="L797" t="n">
        <v>0</v>
      </c>
      <c r="M797" t="n">
        <v>0</v>
      </c>
      <c r="N797" t="n">
        <v>0</v>
      </c>
      <c r="O797" t="n">
        <v>3</v>
      </c>
      <c r="P797" t="n">
        <v>0</v>
      </c>
      <c r="Q797" t="n">
        <v>3</v>
      </c>
      <c r="R797" s="2" t="inlineStr">
        <is>
          <t>Garnlav
Spillkråka
Tretåig hackspett</t>
        </is>
      </c>
      <c r="S797">
        <f>HYPERLINK("https://klasma.github.io/Logging_2462/artfynd/A 38123-2024 artfynd.xlsx", "A 38123-2024")</f>
        <v/>
      </c>
      <c r="T797">
        <f>HYPERLINK("https://klasma.github.io/Logging_2462/kartor/A 38123-2024 karta.png", "A 38123-2024")</f>
        <v/>
      </c>
      <c r="V797">
        <f>HYPERLINK("https://klasma.github.io/Logging_2462/klagomål/A 38123-2024 FSC-klagomål.docx", "A 38123-2024")</f>
        <v/>
      </c>
      <c r="W797">
        <f>HYPERLINK("https://klasma.github.io/Logging_2462/klagomålsmail/A 38123-2024 FSC-klagomål mail.docx", "A 38123-2024")</f>
        <v/>
      </c>
      <c r="X797">
        <f>HYPERLINK("https://klasma.github.io/Logging_2462/tillsyn/A 38123-2024 tillsynsbegäran.docx", "A 38123-2024")</f>
        <v/>
      </c>
      <c r="Y797">
        <f>HYPERLINK("https://klasma.github.io/Logging_2462/tillsynsmail/A 38123-2024 tillsynsbegäran mail.docx", "A 38123-2024")</f>
        <v/>
      </c>
      <c r="Z797">
        <f>HYPERLINK("https://klasma.github.io/Logging_2462/fåglar/A 38123-2024 prioriterade fågelarter.docx", "A 38123-2024")</f>
        <v/>
      </c>
    </row>
    <row r="798" ht="15" customHeight="1">
      <c r="A798" t="inlineStr">
        <is>
          <t>A 38351-2024</t>
        </is>
      </c>
      <c r="B798" s="1" t="n">
        <v>45545</v>
      </c>
      <c r="C798" s="1" t="n">
        <v>45788</v>
      </c>
      <c r="D798" t="inlineStr">
        <is>
          <t>VÄSTERBOTTENS LÄN</t>
        </is>
      </c>
      <c r="E798" t="inlineStr">
        <is>
          <t>BJURHOLM</t>
        </is>
      </c>
      <c r="F798" t="inlineStr">
        <is>
          <t>SCA</t>
        </is>
      </c>
      <c r="G798" t="n">
        <v>14.8</v>
      </c>
      <c r="H798" t="n">
        <v>0</v>
      </c>
      <c r="I798" t="n">
        <v>1</v>
      </c>
      <c r="J798" t="n">
        <v>2</v>
      </c>
      <c r="K798" t="n">
        <v>0</v>
      </c>
      <c r="L798" t="n">
        <v>0</v>
      </c>
      <c r="M798" t="n">
        <v>0</v>
      </c>
      <c r="N798" t="n">
        <v>0</v>
      </c>
      <c r="O798" t="n">
        <v>2</v>
      </c>
      <c r="P798" t="n">
        <v>0</v>
      </c>
      <c r="Q798" t="n">
        <v>3</v>
      </c>
      <c r="R798" s="2" t="inlineStr">
        <is>
          <t>Gammelgransskål
Motaggsvamp
Dropptaggsvamp</t>
        </is>
      </c>
      <c r="S798">
        <f>HYPERLINK("https://klasma.github.io/Logging_2403/artfynd/A 38351-2024 artfynd.xlsx", "A 38351-2024")</f>
        <v/>
      </c>
      <c r="T798">
        <f>HYPERLINK("https://klasma.github.io/Logging_2403/kartor/A 38351-2024 karta.png", "A 38351-2024")</f>
        <v/>
      </c>
      <c r="V798">
        <f>HYPERLINK("https://klasma.github.io/Logging_2403/klagomål/A 38351-2024 FSC-klagomål.docx", "A 38351-2024")</f>
        <v/>
      </c>
      <c r="W798">
        <f>HYPERLINK("https://klasma.github.io/Logging_2403/klagomålsmail/A 38351-2024 FSC-klagomål mail.docx", "A 38351-2024")</f>
        <v/>
      </c>
      <c r="X798">
        <f>HYPERLINK("https://klasma.github.io/Logging_2403/tillsyn/A 38351-2024 tillsynsbegäran.docx", "A 38351-2024")</f>
        <v/>
      </c>
      <c r="Y798">
        <f>HYPERLINK("https://klasma.github.io/Logging_2403/tillsynsmail/A 38351-2024 tillsynsbegäran mail.docx", "A 38351-2024")</f>
        <v/>
      </c>
    </row>
    <row r="799" ht="15" customHeight="1">
      <c r="A799" t="inlineStr">
        <is>
          <t>A 38534-2024</t>
        </is>
      </c>
      <c r="B799" s="1" t="n">
        <v>45546</v>
      </c>
      <c r="C799" s="1" t="n">
        <v>45788</v>
      </c>
      <c r="D799" t="inlineStr">
        <is>
          <t>VÄSTERBOTTENS LÄN</t>
        </is>
      </c>
      <c r="E799" t="inlineStr">
        <is>
          <t>VILHELMINA</t>
        </is>
      </c>
      <c r="G799" t="n">
        <v>10.5</v>
      </c>
      <c r="H799" t="n">
        <v>1</v>
      </c>
      <c r="I799" t="n">
        <v>1</v>
      </c>
      <c r="J799" t="n">
        <v>2</v>
      </c>
      <c r="K799" t="n">
        <v>0</v>
      </c>
      <c r="L799" t="n">
        <v>0</v>
      </c>
      <c r="M799" t="n">
        <v>0</v>
      </c>
      <c r="N799" t="n">
        <v>0</v>
      </c>
      <c r="O799" t="n">
        <v>2</v>
      </c>
      <c r="P799" t="n">
        <v>0</v>
      </c>
      <c r="Q799" t="n">
        <v>3</v>
      </c>
      <c r="R799" s="2" t="inlineStr">
        <is>
          <t>Tretåig hackspett
Ullticka
Trådticka</t>
        </is>
      </c>
      <c r="S799">
        <f>HYPERLINK("https://klasma.github.io/Logging_2462/artfynd/A 38534-2024 artfynd.xlsx", "A 38534-2024")</f>
        <v/>
      </c>
      <c r="T799">
        <f>HYPERLINK("https://klasma.github.io/Logging_2462/kartor/A 38534-2024 karta.png", "A 38534-2024")</f>
        <v/>
      </c>
      <c r="V799">
        <f>HYPERLINK("https://klasma.github.io/Logging_2462/klagomål/A 38534-2024 FSC-klagomål.docx", "A 38534-2024")</f>
        <v/>
      </c>
      <c r="W799">
        <f>HYPERLINK("https://klasma.github.io/Logging_2462/klagomålsmail/A 38534-2024 FSC-klagomål mail.docx", "A 38534-2024")</f>
        <v/>
      </c>
      <c r="X799">
        <f>HYPERLINK("https://klasma.github.io/Logging_2462/tillsyn/A 38534-2024 tillsynsbegäran.docx", "A 38534-2024")</f>
        <v/>
      </c>
      <c r="Y799">
        <f>HYPERLINK("https://klasma.github.io/Logging_2462/tillsynsmail/A 38534-2024 tillsynsbegäran mail.docx", "A 38534-2024")</f>
        <v/>
      </c>
      <c r="Z799">
        <f>HYPERLINK("https://klasma.github.io/Logging_2462/fåglar/A 38534-2024 prioriterade fågelarter.docx", "A 38534-2024")</f>
        <v/>
      </c>
    </row>
    <row r="800" ht="15" customHeight="1">
      <c r="A800" t="inlineStr">
        <is>
          <t>A 39857-2024</t>
        </is>
      </c>
      <c r="B800" s="1" t="n">
        <v>45553</v>
      </c>
      <c r="C800" s="1" t="n">
        <v>45788</v>
      </c>
      <c r="D800" t="inlineStr">
        <is>
          <t>VÄSTERBOTTENS LÄN</t>
        </is>
      </c>
      <c r="E800" t="inlineStr">
        <is>
          <t>SKELLEFTEÅ</t>
        </is>
      </c>
      <c r="G800" t="n">
        <v>4.8</v>
      </c>
      <c r="H800" t="n">
        <v>1</v>
      </c>
      <c r="I800" t="n">
        <v>0</v>
      </c>
      <c r="J800" t="n">
        <v>2</v>
      </c>
      <c r="K800" t="n">
        <v>1</v>
      </c>
      <c r="L800" t="n">
        <v>0</v>
      </c>
      <c r="M800" t="n">
        <v>0</v>
      </c>
      <c r="N800" t="n">
        <v>0</v>
      </c>
      <c r="O800" t="n">
        <v>3</v>
      </c>
      <c r="P800" t="n">
        <v>1</v>
      </c>
      <c r="Q800" t="n">
        <v>3</v>
      </c>
      <c r="R800" s="2" t="inlineStr">
        <is>
          <t>Knärot
Garnlav
Ullticka</t>
        </is>
      </c>
      <c r="S800">
        <f>HYPERLINK("https://klasma.github.io/Logging_2482/artfynd/A 39857-2024 artfynd.xlsx", "A 39857-2024")</f>
        <v/>
      </c>
      <c r="T800">
        <f>HYPERLINK("https://klasma.github.io/Logging_2482/kartor/A 39857-2024 karta.png", "A 39857-2024")</f>
        <v/>
      </c>
      <c r="U800">
        <f>HYPERLINK("https://klasma.github.io/Logging_2482/knärot/A 39857-2024 karta knärot.png", "A 39857-2024")</f>
        <v/>
      </c>
      <c r="V800">
        <f>HYPERLINK("https://klasma.github.io/Logging_2482/klagomål/A 39857-2024 FSC-klagomål.docx", "A 39857-2024")</f>
        <v/>
      </c>
      <c r="W800">
        <f>HYPERLINK("https://klasma.github.io/Logging_2482/klagomålsmail/A 39857-2024 FSC-klagomål mail.docx", "A 39857-2024")</f>
        <v/>
      </c>
      <c r="X800">
        <f>HYPERLINK("https://klasma.github.io/Logging_2482/tillsyn/A 39857-2024 tillsynsbegäran.docx", "A 39857-2024")</f>
        <v/>
      </c>
      <c r="Y800">
        <f>HYPERLINK("https://klasma.github.io/Logging_2482/tillsynsmail/A 39857-2024 tillsynsbegäran mail.docx", "A 39857-2024")</f>
        <v/>
      </c>
    </row>
    <row r="801" ht="15" customHeight="1">
      <c r="A801" t="inlineStr">
        <is>
          <t>A 39861-2024</t>
        </is>
      </c>
      <c r="B801" s="1" t="n">
        <v>45553</v>
      </c>
      <c r="C801" s="1" t="n">
        <v>45788</v>
      </c>
      <c r="D801" t="inlineStr">
        <is>
          <t>VÄSTERBOTTENS LÄN</t>
        </is>
      </c>
      <c r="E801" t="inlineStr">
        <is>
          <t>UMEÅ</t>
        </is>
      </c>
      <c r="F801" t="inlineStr">
        <is>
          <t>Holmen skog AB</t>
        </is>
      </c>
      <c r="G801" t="n">
        <v>1</v>
      </c>
      <c r="H801" t="n">
        <v>2</v>
      </c>
      <c r="I801" t="n">
        <v>0</v>
      </c>
      <c r="J801" t="n">
        <v>3</v>
      </c>
      <c r="K801" t="n">
        <v>0</v>
      </c>
      <c r="L801" t="n">
        <v>0</v>
      </c>
      <c r="M801" t="n">
        <v>0</v>
      </c>
      <c r="N801" t="n">
        <v>0</v>
      </c>
      <c r="O801" t="n">
        <v>3</v>
      </c>
      <c r="P801" t="n">
        <v>0</v>
      </c>
      <c r="Q801" t="n">
        <v>3</v>
      </c>
      <c r="R801" s="2" t="inlineStr">
        <is>
          <t>Garnlav
Spillkråka
Talltita</t>
        </is>
      </c>
      <c r="S801">
        <f>HYPERLINK("https://klasma.github.io/Logging_2480/artfynd/A 39861-2024 artfynd.xlsx", "A 39861-2024")</f>
        <v/>
      </c>
      <c r="T801">
        <f>HYPERLINK("https://klasma.github.io/Logging_2480/kartor/A 39861-2024 karta.png", "A 39861-2024")</f>
        <v/>
      </c>
      <c r="V801">
        <f>HYPERLINK("https://klasma.github.io/Logging_2480/klagomål/A 39861-2024 FSC-klagomål.docx", "A 39861-2024")</f>
        <v/>
      </c>
      <c r="W801">
        <f>HYPERLINK("https://klasma.github.io/Logging_2480/klagomålsmail/A 39861-2024 FSC-klagomål mail.docx", "A 39861-2024")</f>
        <v/>
      </c>
      <c r="X801">
        <f>HYPERLINK("https://klasma.github.io/Logging_2480/tillsyn/A 39861-2024 tillsynsbegäran.docx", "A 39861-2024")</f>
        <v/>
      </c>
      <c r="Y801">
        <f>HYPERLINK("https://klasma.github.io/Logging_2480/tillsynsmail/A 39861-2024 tillsynsbegäran mail.docx", "A 39861-2024")</f>
        <v/>
      </c>
      <c r="Z801">
        <f>HYPERLINK("https://klasma.github.io/Logging_2480/fåglar/A 39861-2024 prioriterade fågelarter.docx", "A 39861-2024")</f>
        <v/>
      </c>
    </row>
    <row r="802" ht="15" customHeight="1">
      <c r="A802" t="inlineStr">
        <is>
          <t>A 40724-2024</t>
        </is>
      </c>
      <c r="B802" s="1" t="n">
        <v>45558</v>
      </c>
      <c r="C802" s="1" t="n">
        <v>45788</v>
      </c>
      <c r="D802" t="inlineStr">
        <is>
          <t>VÄSTERBOTTENS LÄN</t>
        </is>
      </c>
      <c r="E802" t="inlineStr">
        <is>
          <t>LYCKSELE</t>
        </is>
      </c>
      <c r="F802" t="inlineStr">
        <is>
          <t>Sveaskog</t>
        </is>
      </c>
      <c r="G802" t="n">
        <v>11.5</v>
      </c>
      <c r="H802" t="n">
        <v>0</v>
      </c>
      <c r="I802" t="n">
        <v>0</v>
      </c>
      <c r="J802" t="n">
        <v>3</v>
      </c>
      <c r="K802" t="n">
        <v>0</v>
      </c>
      <c r="L802" t="n">
        <v>0</v>
      </c>
      <c r="M802" t="n">
        <v>0</v>
      </c>
      <c r="N802" t="n">
        <v>0</v>
      </c>
      <c r="O802" t="n">
        <v>3</v>
      </c>
      <c r="P802" t="n">
        <v>0</v>
      </c>
      <c r="Q802" t="n">
        <v>3</v>
      </c>
      <c r="R802" s="2" t="inlineStr">
        <is>
          <t>Blanksvart spiklav
Kolflarnlav
Orange taggsvamp</t>
        </is>
      </c>
      <c r="S802">
        <f>HYPERLINK("https://klasma.github.io/Logging_2481/artfynd/A 40724-2024 artfynd.xlsx", "A 40724-2024")</f>
        <v/>
      </c>
      <c r="T802">
        <f>HYPERLINK("https://klasma.github.io/Logging_2481/kartor/A 40724-2024 karta.png", "A 40724-2024")</f>
        <v/>
      </c>
      <c r="V802">
        <f>HYPERLINK("https://klasma.github.io/Logging_2481/klagomål/A 40724-2024 FSC-klagomål.docx", "A 40724-2024")</f>
        <v/>
      </c>
      <c r="W802">
        <f>HYPERLINK("https://klasma.github.io/Logging_2481/klagomålsmail/A 40724-2024 FSC-klagomål mail.docx", "A 40724-2024")</f>
        <v/>
      </c>
      <c r="X802">
        <f>HYPERLINK("https://klasma.github.io/Logging_2481/tillsyn/A 40724-2024 tillsynsbegäran.docx", "A 40724-2024")</f>
        <v/>
      </c>
      <c r="Y802">
        <f>HYPERLINK("https://klasma.github.io/Logging_2481/tillsynsmail/A 40724-2024 tillsynsbegäran mail.docx", "A 40724-2024")</f>
        <v/>
      </c>
    </row>
    <row r="803" ht="15" customHeight="1">
      <c r="A803" t="inlineStr">
        <is>
          <t>A 41646-2024</t>
        </is>
      </c>
      <c r="B803" s="1" t="n">
        <v>45560</v>
      </c>
      <c r="C803" s="1" t="n">
        <v>45788</v>
      </c>
      <c r="D803" t="inlineStr">
        <is>
          <t>VÄSTERBOTTENS LÄN</t>
        </is>
      </c>
      <c r="E803" t="inlineStr">
        <is>
          <t>VILHELMINA</t>
        </is>
      </c>
      <c r="F803" t="inlineStr">
        <is>
          <t>SCA</t>
        </is>
      </c>
      <c r="G803" t="n">
        <v>4.8</v>
      </c>
      <c r="H803" t="n">
        <v>1</v>
      </c>
      <c r="I803" t="n">
        <v>0</v>
      </c>
      <c r="J803" t="n">
        <v>3</v>
      </c>
      <c r="K803" t="n">
        <v>0</v>
      </c>
      <c r="L803" t="n">
        <v>0</v>
      </c>
      <c r="M803" t="n">
        <v>0</v>
      </c>
      <c r="N803" t="n">
        <v>0</v>
      </c>
      <c r="O803" t="n">
        <v>3</v>
      </c>
      <c r="P803" t="n">
        <v>0</v>
      </c>
      <c r="Q803" t="n">
        <v>3</v>
      </c>
      <c r="R803" s="2" t="inlineStr">
        <is>
          <t>Garnlav
Tretåig hackspett
Ullticka</t>
        </is>
      </c>
      <c r="S803">
        <f>HYPERLINK("https://klasma.github.io/Logging_2462/artfynd/A 41646-2024 artfynd.xlsx", "A 41646-2024")</f>
        <v/>
      </c>
      <c r="T803">
        <f>HYPERLINK("https://klasma.github.io/Logging_2462/kartor/A 41646-2024 karta.png", "A 41646-2024")</f>
        <v/>
      </c>
      <c r="V803">
        <f>HYPERLINK("https://klasma.github.io/Logging_2462/klagomål/A 41646-2024 FSC-klagomål.docx", "A 41646-2024")</f>
        <v/>
      </c>
      <c r="W803">
        <f>HYPERLINK("https://klasma.github.io/Logging_2462/klagomålsmail/A 41646-2024 FSC-klagomål mail.docx", "A 41646-2024")</f>
        <v/>
      </c>
      <c r="X803">
        <f>HYPERLINK("https://klasma.github.io/Logging_2462/tillsyn/A 41646-2024 tillsynsbegäran.docx", "A 41646-2024")</f>
        <v/>
      </c>
      <c r="Y803">
        <f>HYPERLINK("https://klasma.github.io/Logging_2462/tillsynsmail/A 41646-2024 tillsynsbegäran mail.docx", "A 41646-2024")</f>
        <v/>
      </c>
      <c r="Z803">
        <f>HYPERLINK("https://klasma.github.io/Logging_2462/fåglar/A 41646-2024 prioriterade fågelarter.docx", "A 41646-2024")</f>
        <v/>
      </c>
    </row>
    <row r="804" ht="15" customHeight="1">
      <c r="A804" t="inlineStr">
        <is>
          <t>A 42588-2024</t>
        </is>
      </c>
      <c r="B804" s="1" t="n">
        <v>45565</v>
      </c>
      <c r="C804" s="1" t="n">
        <v>45788</v>
      </c>
      <c r="D804" t="inlineStr">
        <is>
          <t>VÄSTERBOTTENS LÄN</t>
        </is>
      </c>
      <c r="E804" t="inlineStr">
        <is>
          <t>VINDELN</t>
        </is>
      </c>
      <c r="F804" t="inlineStr">
        <is>
          <t>Holmen skog AB</t>
        </is>
      </c>
      <c r="G804" t="n">
        <v>2.2</v>
      </c>
      <c r="H804" t="n">
        <v>0</v>
      </c>
      <c r="I804" t="n">
        <v>1</v>
      </c>
      <c r="J804" t="n">
        <v>2</v>
      </c>
      <c r="K804" t="n">
        <v>0</v>
      </c>
      <c r="L804" t="n">
        <v>0</v>
      </c>
      <c r="M804" t="n">
        <v>0</v>
      </c>
      <c r="N804" t="n">
        <v>0</v>
      </c>
      <c r="O804" t="n">
        <v>2</v>
      </c>
      <c r="P804" t="n">
        <v>0</v>
      </c>
      <c r="Q804" t="n">
        <v>3</v>
      </c>
      <c r="R804" s="2" t="inlineStr">
        <is>
          <t>Granticka
Svart taggsvamp
Stuplav</t>
        </is>
      </c>
      <c r="S804">
        <f>HYPERLINK("https://klasma.github.io/Logging_2404/artfynd/A 42588-2024 artfynd.xlsx", "A 42588-2024")</f>
        <v/>
      </c>
      <c r="T804">
        <f>HYPERLINK("https://klasma.github.io/Logging_2404/kartor/A 42588-2024 karta.png", "A 42588-2024")</f>
        <v/>
      </c>
      <c r="V804">
        <f>HYPERLINK("https://klasma.github.io/Logging_2404/klagomål/A 42588-2024 FSC-klagomål.docx", "A 42588-2024")</f>
        <v/>
      </c>
      <c r="W804">
        <f>HYPERLINK("https://klasma.github.io/Logging_2404/klagomålsmail/A 42588-2024 FSC-klagomål mail.docx", "A 42588-2024")</f>
        <v/>
      </c>
      <c r="X804">
        <f>HYPERLINK("https://klasma.github.io/Logging_2404/tillsyn/A 42588-2024 tillsynsbegäran.docx", "A 42588-2024")</f>
        <v/>
      </c>
      <c r="Y804">
        <f>HYPERLINK("https://klasma.github.io/Logging_2404/tillsynsmail/A 42588-2024 tillsynsbegäran mail.docx", "A 42588-2024")</f>
        <v/>
      </c>
    </row>
    <row r="805" ht="15" customHeight="1">
      <c r="A805" t="inlineStr">
        <is>
          <t>A 43584-2024</t>
        </is>
      </c>
      <c r="B805" s="1" t="n">
        <v>45569</v>
      </c>
      <c r="C805" s="1" t="n">
        <v>45788</v>
      </c>
      <c r="D805" t="inlineStr">
        <is>
          <t>VÄSTERBOTTENS LÄN</t>
        </is>
      </c>
      <c r="E805" t="inlineStr">
        <is>
          <t>LYCKSELE</t>
        </is>
      </c>
      <c r="F805" t="inlineStr">
        <is>
          <t>Sveaskog</t>
        </is>
      </c>
      <c r="G805" t="n">
        <v>13.1</v>
      </c>
      <c r="H805" t="n">
        <v>0</v>
      </c>
      <c r="I805" t="n">
        <v>1</v>
      </c>
      <c r="J805" t="n">
        <v>2</v>
      </c>
      <c r="K805" t="n">
        <v>0</v>
      </c>
      <c r="L805" t="n">
        <v>0</v>
      </c>
      <c r="M805" t="n">
        <v>0</v>
      </c>
      <c r="N805" t="n">
        <v>0</v>
      </c>
      <c r="O805" t="n">
        <v>2</v>
      </c>
      <c r="P805" t="n">
        <v>0</v>
      </c>
      <c r="Q805" t="n">
        <v>3</v>
      </c>
      <c r="R805" s="2" t="inlineStr">
        <is>
          <t>Blå taggsvamp
Motaggsvamp
Dropptaggsvamp</t>
        </is>
      </c>
      <c r="S805">
        <f>HYPERLINK("https://klasma.github.io/Logging_2481/artfynd/A 43584-2024 artfynd.xlsx", "A 43584-2024")</f>
        <v/>
      </c>
      <c r="T805">
        <f>HYPERLINK("https://klasma.github.io/Logging_2481/kartor/A 43584-2024 karta.png", "A 43584-2024")</f>
        <v/>
      </c>
      <c r="V805">
        <f>HYPERLINK("https://klasma.github.io/Logging_2481/klagomål/A 43584-2024 FSC-klagomål.docx", "A 43584-2024")</f>
        <v/>
      </c>
      <c r="W805">
        <f>HYPERLINK("https://klasma.github.io/Logging_2481/klagomålsmail/A 43584-2024 FSC-klagomål mail.docx", "A 43584-2024")</f>
        <v/>
      </c>
      <c r="X805">
        <f>HYPERLINK("https://klasma.github.io/Logging_2481/tillsyn/A 43584-2024 tillsynsbegäran.docx", "A 43584-2024")</f>
        <v/>
      </c>
      <c r="Y805">
        <f>HYPERLINK("https://klasma.github.io/Logging_2481/tillsynsmail/A 43584-2024 tillsynsbegäran mail.docx", "A 43584-2024")</f>
        <v/>
      </c>
    </row>
    <row r="806" ht="15" customHeight="1">
      <c r="A806" t="inlineStr">
        <is>
          <t>A 43863-2024</t>
        </is>
      </c>
      <c r="B806" s="1" t="n">
        <v>45572</v>
      </c>
      <c r="C806" s="1" t="n">
        <v>45788</v>
      </c>
      <c r="D806" t="inlineStr">
        <is>
          <t>VÄSTERBOTTENS LÄN</t>
        </is>
      </c>
      <c r="E806" t="inlineStr">
        <is>
          <t>MALÅ</t>
        </is>
      </c>
      <c r="F806" t="inlineStr">
        <is>
          <t>Kommuner</t>
        </is>
      </c>
      <c r="G806" t="n">
        <v>8.800000000000001</v>
      </c>
      <c r="H806" t="n">
        <v>3</v>
      </c>
      <c r="I806" t="n">
        <v>0</v>
      </c>
      <c r="J806" t="n">
        <v>2</v>
      </c>
      <c r="K806" t="n">
        <v>0</v>
      </c>
      <c r="L806" t="n">
        <v>1</v>
      </c>
      <c r="M806" t="n">
        <v>0</v>
      </c>
      <c r="N806" t="n">
        <v>0</v>
      </c>
      <c r="O806" t="n">
        <v>3</v>
      </c>
      <c r="P806" t="n">
        <v>1</v>
      </c>
      <c r="Q806" t="n">
        <v>3</v>
      </c>
      <c r="R806" s="2" t="inlineStr">
        <is>
          <t>Grönfink
Kråka
Svartvit flugsnappare</t>
        </is>
      </c>
      <c r="S806">
        <f>HYPERLINK("https://klasma.github.io/Logging_2418/artfynd/A 43863-2024 artfynd.xlsx", "A 43863-2024")</f>
        <v/>
      </c>
      <c r="T806">
        <f>HYPERLINK("https://klasma.github.io/Logging_2418/kartor/A 43863-2024 karta.png", "A 43863-2024")</f>
        <v/>
      </c>
      <c r="V806">
        <f>HYPERLINK("https://klasma.github.io/Logging_2418/klagomål/A 43863-2024 FSC-klagomål.docx", "A 43863-2024")</f>
        <v/>
      </c>
      <c r="W806">
        <f>HYPERLINK("https://klasma.github.io/Logging_2418/klagomålsmail/A 43863-2024 FSC-klagomål mail.docx", "A 43863-2024")</f>
        <v/>
      </c>
      <c r="X806">
        <f>HYPERLINK("https://klasma.github.io/Logging_2418/tillsyn/A 43863-2024 tillsynsbegäran.docx", "A 43863-2024")</f>
        <v/>
      </c>
      <c r="Y806">
        <f>HYPERLINK("https://klasma.github.io/Logging_2418/tillsynsmail/A 43863-2024 tillsynsbegäran mail.docx", "A 43863-2024")</f>
        <v/>
      </c>
      <c r="Z806">
        <f>HYPERLINK("https://klasma.github.io/Logging_2418/fåglar/A 43863-2024 prioriterade fågelarter.docx", "A 43863-2024")</f>
        <v/>
      </c>
    </row>
    <row r="807" ht="15" customHeight="1">
      <c r="A807" t="inlineStr">
        <is>
          <t>A 44162-2024</t>
        </is>
      </c>
      <c r="B807" s="1" t="n">
        <v>45572</v>
      </c>
      <c r="C807" s="1" t="n">
        <v>45788</v>
      </c>
      <c r="D807" t="inlineStr">
        <is>
          <t>VÄSTERBOTTENS LÄN</t>
        </is>
      </c>
      <c r="E807" t="inlineStr">
        <is>
          <t>UMEÅ</t>
        </is>
      </c>
      <c r="G807" t="n">
        <v>11.6</v>
      </c>
      <c r="H807" t="n">
        <v>1</v>
      </c>
      <c r="I807" t="n">
        <v>0</v>
      </c>
      <c r="J807" t="n">
        <v>3</v>
      </c>
      <c r="K807" t="n">
        <v>0</v>
      </c>
      <c r="L807" t="n">
        <v>0</v>
      </c>
      <c r="M807" t="n">
        <v>0</v>
      </c>
      <c r="N807" t="n">
        <v>0</v>
      </c>
      <c r="O807" t="n">
        <v>3</v>
      </c>
      <c r="P807" t="n">
        <v>0</v>
      </c>
      <c r="Q807" t="n">
        <v>3</v>
      </c>
      <c r="R807" s="2" t="inlineStr">
        <is>
          <t>Garnlav
Spillkråka
Violettgrå tagellav</t>
        </is>
      </c>
      <c r="S807">
        <f>HYPERLINK("https://klasma.github.io/Logging_2480/artfynd/A 44162-2024 artfynd.xlsx", "A 44162-2024")</f>
        <v/>
      </c>
      <c r="T807">
        <f>HYPERLINK("https://klasma.github.io/Logging_2480/kartor/A 44162-2024 karta.png", "A 44162-2024")</f>
        <v/>
      </c>
      <c r="V807">
        <f>HYPERLINK("https://klasma.github.io/Logging_2480/klagomål/A 44162-2024 FSC-klagomål.docx", "A 44162-2024")</f>
        <v/>
      </c>
      <c r="W807">
        <f>HYPERLINK("https://klasma.github.io/Logging_2480/klagomålsmail/A 44162-2024 FSC-klagomål mail.docx", "A 44162-2024")</f>
        <v/>
      </c>
      <c r="X807">
        <f>HYPERLINK("https://klasma.github.io/Logging_2480/tillsyn/A 44162-2024 tillsynsbegäran.docx", "A 44162-2024")</f>
        <v/>
      </c>
      <c r="Y807">
        <f>HYPERLINK("https://klasma.github.io/Logging_2480/tillsynsmail/A 44162-2024 tillsynsbegäran mail.docx", "A 44162-2024")</f>
        <v/>
      </c>
      <c r="Z807">
        <f>HYPERLINK("https://klasma.github.io/Logging_2480/fåglar/A 44162-2024 prioriterade fågelarter.docx", "A 44162-2024")</f>
        <v/>
      </c>
    </row>
    <row r="808" ht="15" customHeight="1">
      <c r="A808" t="inlineStr">
        <is>
          <t>A 45409-2024</t>
        </is>
      </c>
      <c r="B808" s="1" t="n">
        <v>45576</v>
      </c>
      <c r="C808" s="1" t="n">
        <v>45788</v>
      </c>
      <c r="D808" t="inlineStr">
        <is>
          <t>VÄSTERBOTTENS LÄN</t>
        </is>
      </c>
      <c r="E808" t="inlineStr">
        <is>
          <t>MALÅ</t>
        </is>
      </c>
      <c r="F808" t="inlineStr">
        <is>
          <t>Sveaskog</t>
        </is>
      </c>
      <c r="G808" t="n">
        <v>17.5</v>
      </c>
      <c r="H808" t="n">
        <v>0</v>
      </c>
      <c r="I808" t="n">
        <v>2</v>
      </c>
      <c r="J808" t="n">
        <v>0</v>
      </c>
      <c r="K808" t="n">
        <v>1</v>
      </c>
      <c r="L808" t="n">
        <v>0</v>
      </c>
      <c r="M808" t="n">
        <v>0</v>
      </c>
      <c r="N808" t="n">
        <v>0</v>
      </c>
      <c r="O808" t="n">
        <v>1</v>
      </c>
      <c r="P808" t="n">
        <v>1</v>
      </c>
      <c r="Q808" t="n">
        <v>3</v>
      </c>
      <c r="R808" s="2" t="inlineStr">
        <is>
          <t>Tajgaskinn
Bronshjon
Dropptaggsvamp</t>
        </is>
      </c>
      <c r="S808">
        <f>HYPERLINK("https://klasma.github.io/Logging_2418/artfynd/A 45409-2024 artfynd.xlsx", "A 45409-2024")</f>
        <v/>
      </c>
      <c r="T808">
        <f>HYPERLINK("https://klasma.github.io/Logging_2418/kartor/A 45409-2024 karta.png", "A 45409-2024")</f>
        <v/>
      </c>
      <c r="V808">
        <f>HYPERLINK("https://klasma.github.io/Logging_2418/klagomål/A 45409-2024 FSC-klagomål.docx", "A 45409-2024")</f>
        <v/>
      </c>
      <c r="W808">
        <f>HYPERLINK("https://klasma.github.io/Logging_2418/klagomålsmail/A 45409-2024 FSC-klagomål mail.docx", "A 45409-2024")</f>
        <v/>
      </c>
      <c r="X808">
        <f>HYPERLINK("https://klasma.github.io/Logging_2418/tillsyn/A 45409-2024 tillsynsbegäran.docx", "A 45409-2024")</f>
        <v/>
      </c>
      <c r="Y808">
        <f>HYPERLINK("https://klasma.github.io/Logging_2418/tillsynsmail/A 45409-2024 tillsynsbegäran mail.docx", "A 45409-2024")</f>
        <v/>
      </c>
    </row>
    <row r="809" ht="15" customHeight="1">
      <c r="A809" t="inlineStr">
        <is>
          <t>A 45868-2024</t>
        </is>
      </c>
      <c r="B809" s="1" t="n">
        <v>45580</v>
      </c>
      <c r="C809" s="1" t="n">
        <v>45788</v>
      </c>
      <c r="D809" t="inlineStr">
        <is>
          <t>VÄSTERBOTTENS LÄN</t>
        </is>
      </c>
      <c r="E809" t="inlineStr">
        <is>
          <t>LYCKSELE</t>
        </is>
      </c>
      <c r="F809" t="inlineStr">
        <is>
          <t>Sveaskog</t>
        </is>
      </c>
      <c r="G809" t="n">
        <v>3.7</v>
      </c>
      <c r="H809" t="n">
        <v>0</v>
      </c>
      <c r="I809" t="n">
        <v>0</v>
      </c>
      <c r="J809" t="n">
        <v>3</v>
      </c>
      <c r="K809" t="n">
        <v>0</v>
      </c>
      <c r="L809" t="n">
        <v>0</v>
      </c>
      <c r="M809" t="n">
        <v>0</v>
      </c>
      <c r="N809" t="n">
        <v>0</v>
      </c>
      <c r="O809" t="n">
        <v>3</v>
      </c>
      <c r="P809" t="n">
        <v>0</v>
      </c>
      <c r="Q809" t="n">
        <v>3</v>
      </c>
      <c r="R809" s="2" t="inlineStr">
        <is>
          <t>Kolflarnlav
Mörk kolflarnlav
Orange taggsvamp</t>
        </is>
      </c>
      <c r="S809">
        <f>HYPERLINK("https://klasma.github.io/Logging_2481/artfynd/A 45868-2024 artfynd.xlsx", "A 45868-2024")</f>
        <v/>
      </c>
      <c r="T809">
        <f>HYPERLINK("https://klasma.github.io/Logging_2481/kartor/A 45868-2024 karta.png", "A 45868-2024")</f>
        <v/>
      </c>
      <c r="V809">
        <f>HYPERLINK("https://klasma.github.io/Logging_2481/klagomål/A 45868-2024 FSC-klagomål.docx", "A 45868-2024")</f>
        <v/>
      </c>
      <c r="W809">
        <f>HYPERLINK("https://klasma.github.io/Logging_2481/klagomålsmail/A 45868-2024 FSC-klagomål mail.docx", "A 45868-2024")</f>
        <v/>
      </c>
      <c r="X809">
        <f>HYPERLINK("https://klasma.github.io/Logging_2481/tillsyn/A 45868-2024 tillsynsbegäran.docx", "A 45868-2024")</f>
        <v/>
      </c>
      <c r="Y809">
        <f>HYPERLINK("https://klasma.github.io/Logging_2481/tillsynsmail/A 45868-2024 tillsynsbegäran mail.docx", "A 45868-2024")</f>
        <v/>
      </c>
    </row>
    <row r="810" ht="15" customHeight="1">
      <c r="A810" t="inlineStr">
        <is>
          <t>A 47093-2024</t>
        </is>
      </c>
      <c r="B810" s="1" t="n">
        <v>45586</v>
      </c>
      <c r="C810" s="1" t="n">
        <v>45788</v>
      </c>
      <c r="D810" t="inlineStr">
        <is>
          <t>VÄSTERBOTTENS LÄN</t>
        </is>
      </c>
      <c r="E810" t="inlineStr">
        <is>
          <t>LYCKSELE</t>
        </is>
      </c>
      <c r="F810" t="inlineStr">
        <is>
          <t>Sveaskog</t>
        </is>
      </c>
      <c r="G810" t="n">
        <v>13.2</v>
      </c>
      <c r="H810" t="n">
        <v>0</v>
      </c>
      <c r="I810" t="n">
        <v>1</v>
      </c>
      <c r="J810" t="n">
        <v>2</v>
      </c>
      <c r="K810" t="n">
        <v>0</v>
      </c>
      <c r="L810" t="n">
        <v>0</v>
      </c>
      <c r="M810" t="n">
        <v>0</v>
      </c>
      <c r="N810" t="n">
        <v>0</v>
      </c>
      <c r="O810" t="n">
        <v>2</v>
      </c>
      <c r="P810" t="n">
        <v>0</v>
      </c>
      <c r="Q810" t="n">
        <v>3</v>
      </c>
      <c r="R810" s="2" t="inlineStr">
        <is>
          <t>Mörk kolflarnlav
Talltaggsvamp
Skarp dropptaggsvamp</t>
        </is>
      </c>
      <c r="S810">
        <f>HYPERLINK("https://klasma.github.io/Logging_2481/artfynd/A 47093-2024 artfynd.xlsx", "A 47093-2024")</f>
        <v/>
      </c>
      <c r="T810">
        <f>HYPERLINK("https://klasma.github.io/Logging_2481/kartor/A 47093-2024 karta.png", "A 47093-2024")</f>
        <v/>
      </c>
      <c r="V810">
        <f>HYPERLINK("https://klasma.github.io/Logging_2481/klagomål/A 47093-2024 FSC-klagomål.docx", "A 47093-2024")</f>
        <v/>
      </c>
      <c r="W810">
        <f>HYPERLINK("https://klasma.github.io/Logging_2481/klagomålsmail/A 47093-2024 FSC-klagomål mail.docx", "A 47093-2024")</f>
        <v/>
      </c>
      <c r="X810">
        <f>HYPERLINK("https://klasma.github.io/Logging_2481/tillsyn/A 47093-2024 tillsynsbegäran.docx", "A 47093-2024")</f>
        <v/>
      </c>
      <c r="Y810">
        <f>HYPERLINK("https://klasma.github.io/Logging_2481/tillsynsmail/A 47093-2024 tillsynsbegäran mail.docx", "A 47093-2024")</f>
        <v/>
      </c>
    </row>
    <row r="811" ht="15" customHeight="1">
      <c r="A811" t="inlineStr">
        <is>
          <t>A 47327-2024</t>
        </is>
      </c>
      <c r="B811" s="1" t="n">
        <v>45587</v>
      </c>
      <c r="C811" s="1" t="n">
        <v>45788</v>
      </c>
      <c r="D811" t="inlineStr">
        <is>
          <t>VÄSTERBOTTENS LÄN</t>
        </is>
      </c>
      <c r="E811" t="inlineStr">
        <is>
          <t>NORSJÖ</t>
        </is>
      </c>
      <c r="F811" t="inlineStr">
        <is>
          <t>Sveaskog</t>
        </is>
      </c>
      <c r="G811" t="n">
        <v>21.9</v>
      </c>
      <c r="H811" t="n">
        <v>0</v>
      </c>
      <c r="I811" t="n">
        <v>2</v>
      </c>
      <c r="J811" t="n">
        <v>1</v>
      </c>
      <c r="K811" t="n">
        <v>0</v>
      </c>
      <c r="L811" t="n">
        <v>0</v>
      </c>
      <c r="M811" t="n">
        <v>0</v>
      </c>
      <c r="N811" t="n">
        <v>0</v>
      </c>
      <c r="O811" t="n">
        <v>1</v>
      </c>
      <c r="P811" t="n">
        <v>0</v>
      </c>
      <c r="Q811" t="n">
        <v>3</v>
      </c>
      <c r="R811" s="2" t="inlineStr">
        <is>
          <t>Blå taggsvamp
Dropptaggsvamp
Skarp dropptaggsvamp</t>
        </is>
      </c>
      <c r="S811">
        <f>HYPERLINK("https://klasma.github.io/Logging_2417/artfynd/A 47327-2024 artfynd.xlsx", "A 47327-2024")</f>
        <v/>
      </c>
      <c r="T811">
        <f>HYPERLINK("https://klasma.github.io/Logging_2417/kartor/A 47327-2024 karta.png", "A 47327-2024")</f>
        <v/>
      </c>
      <c r="V811">
        <f>HYPERLINK("https://klasma.github.io/Logging_2417/klagomål/A 47327-2024 FSC-klagomål.docx", "A 47327-2024")</f>
        <v/>
      </c>
      <c r="W811">
        <f>HYPERLINK("https://klasma.github.io/Logging_2417/klagomålsmail/A 47327-2024 FSC-klagomål mail.docx", "A 47327-2024")</f>
        <v/>
      </c>
      <c r="X811">
        <f>HYPERLINK("https://klasma.github.io/Logging_2417/tillsyn/A 47327-2024 tillsynsbegäran.docx", "A 47327-2024")</f>
        <v/>
      </c>
      <c r="Y811">
        <f>HYPERLINK("https://klasma.github.io/Logging_2417/tillsynsmail/A 47327-2024 tillsynsbegäran mail.docx", "A 47327-2024")</f>
        <v/>
      </c>
    </row>
    <row r="812" ht="15" customHeight="1">
      <c r="A812" t="inlineStr">
        <is>
          <t>A 48129-2024</t>
        </is>
      </c>
      <c r="B812" s="1" t="n">
        <v>45589</v>
      </c>
      <c r="C812" s="1" t="n">
        <v>45788</v>
      </c>
      <c r="D812" t="inlineStr">
        <is>
          <t>VÄSTERBOTTENS LÄN</t>
        </is>
      </c>
      <c r="E812" t="inlineStr">
        <is>
          <t>LYCKSELE</t>
        </is>
      </c>
      <c r="F812" t="inlineStr">
        <is>
          <t>Sveaskog</t>
        </is>
      </c>
      <c r="G812" t="n">
        <v>9.800000000000001</v>
      </c>
      <c r="H812" t="n">
        <v>0</v>
      </c>
      <c r="I812" t="n">
        <v>0</v>
      </c>
      <c r="J812" t="n">
        <v>3</v>
      </c>
      <c r="K812" t="n">
        <v>0</v>
      </c>
      <c r="L812" t="n">
        <v>0</v>
      </c>
      <c r="M812" t="n">
        <v>0</v>
      </c>
      <c r="N812" t="n">
        <v>0</v>
      </c>
      <c r="O812" t="n">
        <v>3</v>
      </c>
      <c r="P812" t="n">
        <v>0</v>
      </c>
      <c r="Q812" t="n">
        <v>3</v>
      </c>
      <c r="R812" s="2" t="inlineStr">
        <is>
          <t>Blå taggsvamp
Kolflarnlav
Orange taggsvamp</t>
        </is>
      </c>
      <c r="S812">
        <f>HYPERLINK("https://klasma.github.io/Logging_2481/artfynd/A 48129-2024 artfynd.xlsx", "A 48129-2024")</f>
        <v/>
      </c>
      <c r="T812">
        <f>HYPERLINK("https://klasma.github.io/Logging_2481/kartor/A 48129-2024 karta.png", "A 48129-2024")</f>
        <v/>
      </c>
      <c r="V812">
        <f>HYPERLINK("https://klasma.github.io/Logging_2481/klagomål/A 48129-2024 FSC-klagomål.docx", "A 48129-2024")</f>
        <v/>
      </c>
      <c r="W812">
        <f>HYPERLINK("https://klasma.github.io/Logging_2481/klagomålsmail/A 48129-2024 FSC-klagomål mail.docx", "A 48129-2024")</f>
        <v/>
      </c>
      <c r="X812">
        <f>HYPERLINK("https://klasma.github.io/Logging_2481/tillsyn/A 48129-2024 tillsynsbegäran.docx", "A 48129-2024")</f>
        <v/>
      </c>
      <c r="Y812">
        <f>HYPERLINK("https://klasma.github.io/Logging_2481/tillsynsmail/A 48129-2024 tillsynsbegäran mail.docx", "A 48129-2024")</f>
        <v/>
      </c>
    </row>
    <row r="813" ht="15" customHeight="1">
      <c r="A813" t="inlineStr">
        <is>
          <t>A 48395-2024</t>
        </is>
      </c>
      <c r="B813" s="1" t="n">
        <v>45590</v>
      </c>
      <c r="C813" s="1" t="n">
        <v>45788</v>
      </c>
      <c r="D813" t="inlineStr">
        <is>
          <t>VÄSTERBOTTENS LÄN</t>
        </is>
      </c>
      <c r="E813" t="inlineStr">
        <is>
          <t>LYCKSELE</t>
        </is>
      </c>
      <c r="F813" t="inlineStr">
        <is>
          <t>SCA</t>
        </is>
      </c>
      <c r="G813" t="n">
        <v>1.1</v>
      </c>
      <c r="H813" t="n">
        <v>1</v>
      </c>
      <c r="I813" t="n">
        <v>1</v>
      </c>
      <c r="J813" t="n">
        <v>1</v>
      </c>
      <c r="K813" t="n">
        <v>0</v>
      </c>
      <c r="L813" t="n">
        <v>0</v>
      </c>
      <c r="M813" t="n">
        <v>0</v>
      </c>
      <c r="N813" t="n">
        <v>0</v>
      </c>
      <c r="O813" t="n">
        <v>1</v>
      </c>
      <c r="P813" t="n">
        <v>0</v>
      </c>
      <c r="Q813" t="n">
        <v>3</v>
      </c>
      <c r="R813" s="2" t="inlineStr">
        <is>
          <t>Ullticka
Ögonpyrola
Tjäder</t>
        </is>
      </c>
      <c r="S813">
        <f>HYPERLINK("https://klasma.github.io/Logging_2481/artfynd/A 48395-2024 artfynd.xlsx", "A 48395-2024")</f>
        <v/>
      </c>
      <c r="T813">
        <f>HYPERLINK("https://klasma.github.io/Logging_2481/kartor/A 48395-2024 karta.png", "A 48395-2024")</f>
        <v/>
      </c>
      <c r="V813">
        <f>HYPERLINK("https://klasma.github.io/Logging_2481/klagomål/A 48395-2024 FSC-klagomål.docx", "A 48395-2024")</f>
        <v/>
      </c>
      <c r="W813">
        <f>HYPERLINK("https://klasma.github.io/Logging_2481/klagomålsmail/A 48395-2024 FSC-klagomål mail.docx", "A 48395-2024")</f>
        <v/>
      </c>
      <c r="X813">
        <f>HYPERLINK("https://klasma.github.io/Logging_2481/tillsyn/A 48395-2024 tillsynsbegäran.docx", "A 48395-2024")</f>
        <v/>
      </c>
      <c r="Y813">
        <f>HYPERLINK("https://klasma.github.io/Logging_2481/tillsynsmail/A 48395-2024 tillsynsbegäran mail.docx", "A 48395-2024")</f>
        <v/>
      </c>
      <c r="Z813">
        <f>HYPERLINK("https://klasma.github.io/Logging_2481/fåglar/A 48395-2024 prioriterade fågelarter.docx", "A 48395-2024")</f>
        <v/>
      </c>
    </row>
    <row r="814" ht="15" customHeight="1">
      <c r="A814" t="inlineStr">
        <is>
          <t>A 50094-2024</t>
        </is>
      </c>
      <c r="B814" s="1" t="n">
        <v>45600</v>
      </c>
      <c r="C814" s="1" t="n">
        <v>45788</v>
      </c>
      <c r="D814" t="inlineStr">
        <is>
          <t>VÄSTERBOTTENS LÄN</t>
        </is>
      </c>
      <c r="E814" t="inlineStr">
        <is>
          <t>VINDELN</t>
        </is>
      </c>
      <c r="F814" t="inlineStr">
        <is>
          <t>Holmen skog AB</t>
        </is>
      </c>
      <c r="G814" t="n">
        <v>10.6</v>
      </c>
      <c r="H814" t="n">
        <v>0</v>
      </c>
      <c r="I814" t="n">
        <v>1</v>
      </c>
      <c r="J814" t="n">
        <v>2</v>
      </c>
      <c r="K814" t="n">
        <v>0</v>
      </c>
      <c r="L814" t="n">
        <v>0</v>
      </c>
      <c r="M814" t="n">
        <v>0</v>
      </c>
      <c r="N814" t="n">
        <v>0</v>
      </c>
      <c r="O814" t="n">
        <v>2</v>
      </c>
      <c r="P814" t="n">
        <v>0</v>
      </c>
      <c r="Q814" t="n">
        <v>3</v>
      </c>
      <c r="R814" s="2" t="inlineStr">
        <is>
          <t>Kandelabersvamp
Vitgrynig nållav
Stuplav</t>
        </is>
      </c>
      <c r="S814">
        <f>HYPERLINK("https://klasma.github.io/Logging_2404/artfynd/A 50094-2024 artfynd.xlsx", "A 50094-2024")</f>
        <v/>
      </c>
      <c r="T814">
        <f>HYPERLINK("https://klasma.github.io/Logging_2404/kartor/A 50094-2024 karta.png", "A 50094-2024")</f>
        <v/>
      </c>
      <c r="V814">
        <f>HYPERLINK("https://klasma.github.io/Logging_2404/klagomål/A 50094-2024 FSC-klagomål.docx", "A 50094-2024")</f>
        <v/>
      </c>
      <c r="W814">
        <f>HYPERLINK("https://klasma.github.io/Logging_2404/klagomålsmail/A 50094-2024 FSC-klagomål mail.docx", "A 50094-2024")</f>
        <v/>
      </c>
      <c r="X814">
        <f>HYPERLINK("https://klasma.github.io/Logging_2404/tillsyn/A 50094-2024 tillsynsbegäran.docx", "A 50094-2024")</f>
        <v/>
      </c>
      <c r="Y814">
        <f>HYPERLINK("https://klasma.github.io/Logging_2404/tillsynsmail/A 50094-2024 tillsynsbegäran mail.docx", "A 50094-2024")</f>
        <v/>
      </c>
    </row>
    <row r="815" ht="15" customHeight="1">
      <c r="A815" t="inlineStr">
        <is>
          <t>A 50743-2024</t>
        </is>
      </c>
      <c r="B815" s="1" t="n">
        <v>45602</v>
      </c>
      <c r="C815" s="1" t="n">
        <v>45788</v>
      </c>
      <c r="D815" t="inlineStr">
        <is>
          <t>VÄSTERBOTTENS LÄN</t>
        </is>
      </c>
      <c r="E815" t="inlineStr">
        <is>
          <t>LYCKSELE</t>
        </is>
      </c>
      <c r="F815" t="inlineStr">
        <is>
          <t>Sveaskog</t>
        </is>
      </c>
      <c r="G815" t="n">
        <v>7.4</v>
      </c>
      <c r="H815" t="n">
        <v>1</v>
      </c>
      <c r="I815" t="n">
        <v>0</v>
      </c>
      <c r="J815" t="n">
        <v>2</v>
      </c>
      <c r="K815" t="n">
        <v>1</v>
      </c>
      <c r="L815" t="n">
        <v>0</v>
      </c>
      <c r="M815" t="n">
        <v>0</v>
      </c>
      <c r="N815" t="n">
        <v>0</v>
      </c>
      <c r="O815" t="n">
        <v>3</v>
      </c>
      <c r="P815" t="n">
        <v>1</v>
      </c>
      <c r="Q815" t="n">
        <v>3</v>
      </c>
      <c r="R815" s="2" t="inlineStr">
        <is>
          <t>Doftticka
Lunglav
Mörk kolflarnlav</t>
        </is>
      </c>
      <c r="S815">
        <f>HYPERLINK("https://klasma.github.io/Logging_2481/artfynd/A 50743-2024 artfynd.xlsx", "A 50743-2024")</f>
        <v/>
      </c>
      <c r="T815">
        <f>HYPERLINK("https://klasma.github.io/Logging_2481/kartor/A 50743-2024 karta.png", "A 50743-2024")</f>
        <v/>
      </c>
      <c r="V815">
        <f>HYPERLINK("https://klasma.github.io/Logging_2481/klagomål/A 50743-2024 FSC-klagomål.docx", "A 50743-2024")</f>
        <v/>
      </c>
      <c r="W815">
        <f>HYPERLINK("https://klasma.github.io/Logging_2481/klagomålsmail/A 50743-2024 FSC-klagomål mail.docx", "A 50743-2024")</f>
        <v/>
      </c>
      <c r="X815">
        <f>HYPERLINK("https://klasma.github.io/Logging_2481/tillsyn/A 50743-2024 tillsynsbegäran.docx", "A 50743-2024")</f>
        <v/>
      </c>
      <c r="Y815">
        <f>HYPERLINK("https://klasma.github.io/Logging_2481/tillsynsmail/A 50743-2024 tillsynsbegäran mail.docx", "A 50743-2024")</f>
        <v/>
      </c>
    </row>
    <row r="816" ht="15" customHeight="1">
      <c r="A816" t="inlineStr">
        <is>
          <t>A 53151-2024</t>
        </is>
      </c>
      <c r="B816" s="1" t="n">
        <v>45611</v>
      </c>
      <c r="C816" s="1" t="n">
        <v>45788</v>
      </c>
      <c r="D816" t="inlineStr">
        <is>
          <t>VÄSTERBOTTENS LÄN</t>
        </is>
      </c>
      <c r="E816" t="inlineStr">
        <is>
          <t>VINDELN</t>
        </is>
      </c>
      <c r="F816" t="inlineStr">
        <is>
          <t>Naturvårdsverket</t>
        </is>
      </c>
      <c r="G816" t="n">
        <v>0.6</v>
      </c>
      <c r="H816" t="n">
        <v>0</v>
      </c>
      <c r="I816" t="n">
        <v>1</v>
      </c>
      <c r="J816" t="n">
        <v>2</v>
      </c>
      <c r="K816" t="n">
        <v>0</v>
      </c>
      <c r="L816" t="n">
        <v>0</v>
      </c>
      <c r="M816" t="n">
        <v>0</v>
      </c>
      <c r="N816" t="n">
        <v>0</v>
      </c>
      <c r="O816" t="n">
        <v>2</v>
      </c>
      <c r="P816" t="n">
        <v>0</v>
      </c>
      <c r="Q816" t="n">
        <v>3</v>
      </c>
      <c r="R816" s="2" t="inlineStr">
        <is>
          <t>Lunglav
Vitgrynig nållav
Stuplav</t>
        </is>
      </c>
      <c r="S816">
        <f>HYPERLINK("https://klasma.github.io/Logging_2404/artfynd/A 53151-2024 artfynd.xlsx", "A 53151-2024")</f>
        <v/>
      </c>
      <c r="T816">
        <f>HYPERLINK("https://klasma.github.io/Logging_2404/kartor/A 53151-2024 karta.png", "A 53151-2024")</f>
        <v/>
      </c>
      <c r="V816">
        <f>HYPERLINK("https://klasma.github.io/Logging_2404/klagomål/A 53151-2024 FSC-klagomål.docx", "A 53151-2024")</f>
        <v/>
      </c>
      <c r="W816">
        <f>HYPERLINK("https://klasma.github.io/Logging_2404/klagomålsmail/A 53151-2024 FSC-klagomål mail.docx", "A 53151-2024")</f>
        <v/>
      </c>
      <c r="X816">
        <f>HYPERLINK("https://klasma.github.io/Logging_2404/tillsyn/A 53151-2024 tillsynsbegäran.docx", "A 53151-2024")</f>
        <v/>
      </c>
      <c r="Y816">
        <f>HYPERLINK("https://klasma.github.io/Logging_2404/tillsynsmail/A 53151-2024 tillsynsbegäran mail.docx", "A 53151-2024")</f>
        <v/>
      </c>
    </row>
    <row r="817" ht="15" customHeight="1">
      <c r="A817" t="inlineStr">
        <is>
          <t>A 53115-2024</t>
        </is>
      </c>
      <c r="B817" s="1" t="n">
        <v>45611</v>
      </c>
      <c r="C817" s="1" t="n">
        <v>45788</v>
      </c>
      <c r="D817" t="inlineStr">
        <is>
          <t>VÄSTERBOTTENS LÄN</t>
        </is>
      </c>
      <c r="E817" t="inlineStr">
        <is>
          <t>LYCKSELE</t>
        </is>
      </c>
      <c r="F817" t="inlineStr">
        <is>
          <t>Sveaskog</t>
        </is>
      </c>
      <c r="G817" t="n">
        <v>4.1</v>
      </c>
      <c r="H817" t="n">
        <v>0</v>
      </c>
      <c r="I817" t="n">
        <v>0</v>
      </c>
      <c r="J817" t="n">
        <v>3</v>
      </c>
      <c r="K817" t="n">
        <v>0</v>
      </c>
      <c r="L817" t="n">
        <v>0</v>
      </c>
      <c r="M817" t="n">
        <v>0</v>
      </c>
      <c r="N817" t="n">
        <v>0</v>
      </c>
      <c r="O817" t="n">
        <v>3</v>
      </c>
      <c r="P817" t="n">
        <v>0</v>
      </c>
      <c r="Q817" t="n">
        <v>3</v>
      </c>
      <c r="R817" s="2" t="inlineStr">
        <is>
          <t>Blå taggsvamp
Kolflarnlav
Orange taggsvamp</t>
        </is>
      </c>
      <c r="S817">
        <f>HYPERLINK("https://klasma.github.io/Logging_2481/artfynd/A 53115-2024 artfynd.xlsx", "A 53115-2024")</f>
        <v/>
      </c>
      <c r="T817">
        <f>HYPERLINK("https://klasma.github.io/Logging_2481/kartor/A 53115-2024 karta.png", "A 53115-2024")</f>
        <v/>
      </c>
      <c r="V817">
        <f>HYPERLINK("https://klasma.github.io/Logging_2481/klagomål/A 53115-2024 FSC-klagomål.docx", "A 53115-2024")</f>
        <v/>
      </c>
      <c r="W817">
        <f>HYPERLINK("https://klasma.github.io/Logging_2481/klagomålsmail/A 53115-2024 FSC-klagomål mail.docx", "A 53115-2024")</f>
        <v/>
      </c>
      <c r="X817">
        <f>HYPERLINK("https://klasma.github.io/Logging_2481/tillsyn/A 53115-2024 tillsynsbegäran.docx", "A 53115-2024")</f>
        <v/>
      </c>
      <c r="Y817">
        <f>HYPERLINK("https://klasma.github.io/Logging_2481/tillsynsmail/A 53115-2024 tillsynsbegäran mail.docx", "A 53115-2024")</f>
        <v/>
      </c>
    </row>
    <row r="818" ht="15" customHeight="1">
      <c r="A818" t="inlineStr">
        <is>
          <t>A 53238-2024</t>
        </is>
      </c>
      <c r="B818" s="1" t="n">
        <v>45613</v>
      </c>
      <c r="C818" s="1" t="n">
        <v>45788</v>
      </c>
      <c r="D818" t="inlineStr">
        <is>
          <t>VÄSTERBOTTENS LÄN</t>
        </is>
      </c>
      <c r="E818" t="inlineStr">
        <is>
          <t>ÅSELE</t>
        </is>
      </c>
      <c r="F818" t="inlineStr">
        <is>
          <t>Naturvårdsverket</t>
        </is>
      </c>
      <c r="G818" t="n">
        <v>1.2</v>
      </c>
      <c r="H818" t="n">
        <v>0</v>
      </c>
      <c r="I818" t="n">
        <v>0</v>
      </c>
      <c r="J818" t="n">
        <v>3</v>
      </c>
      <c r="K818" t="n">
        <v>0</v>
      </c>
      <c r="L818" t="n">
        <v>0</v>
      </c>
      <c r="M818" t="n">
        <v>0</v>
      </c>
      <c r="N818" t="n">
        <v>0</v>
      </c>
      <c r="O818" t="n">
        <v>3</v>
      </c>
      <c r="P818" t="n">
        <v>0</v>
      </c>
      <c r="Q818" t="n">
        <v>3</v>
      </c>
      <c r="R818" s="2" t="inlineStr">
        <is>
          <t>Gammelgransskål
Granticka
Vitgrynig nållav</t>
        </is>
      </c>
      <c r="S818">
        <f>HYPERLINK("https://klasma.github.io/Logging_2463/artfynd/A 53238-2024 artfynd.xlsx", "A 53238-2024")</f>
        <v/>
      </c>
      <c r="T818">
        <f>HYPERLINK("https://klasma.github.io/Logging_2463/kartor/A 53238-2024 karta.png", "A 53238-2024")</f>
        <v/>
      </c>
      <c r="V818">
        <f>HYPERLINK("https://klasma.github.io/Logging_2463/klagomål/A 53238-2024 FSC-klagomål.docx", "A 53238-2024")</f>
        <v/>
      </c>
      <c r="W818">
        <f>HYPERLINK("https://klasma.github.io/Logging_2463/klagomålsmail/A 53238-2024 FSC-klagomål mail.docx", "A 53238-2024")</f>
        <v/>
      </c>
      <c r="X818">
        <f>HYPERLINK("https://klasma.github.io/Logging_2463/tillsyn/A 53238-2024 tillsynsbegäran.docx", "A 53238-2024")</f>
        <v/>
      </c>
      <c r="Y818">
        <f>HYPERLINK("https://klasma.github.io/Logging_2463/tillsynsmail/A 53238-2024 tillsynsbegäran mail.docx", "A 53238-2024")</f>
        <v/>
      </c>
    </row>
    <row r="819" ht="15" customHeight="1">
      <c r="A819" t="inlineStr">
        <is>
          <t>A 54566-2024</t>
        </is>
      </c>
      <c r="B819" s="1" t="n">
        <v>45617</v>
      </c>
      <c r="C819" s="1" t="n">
        <v>45788</v>
      </c>
      <c r="D819" t="inlineStr">
        <is>
          <t>VÄSTERBOTTENS LÄN</t>
        </is>
      </c>
      <c r="E819" t="inlineStr">
        <is>
          <t>LYCKSELE</t>
        </is>
      </c>
      <c r="F819" t="inlineStr">
        <is>
          <t>Sveaskog</t>
        </is>
      </c>
      <c r="G819" t="n">
        <v>6.7</v>
      </c>
      <c r="H819" t="n">
        <v>0</v>
      </c>
      <c r="I819" t="n">
        <v>2</v>
      </c>
      <c r="J819" t="n">
        <v>1</v>
      </c>
      <c r="K819" t="n">
        <v>0</v>
      </c>
      <c r="L819" t="n">
        <v>0</v>
      </c>
      <c r="M819" t="n">
        <v>0</v>
      </c>
      <c r="N819" t="n">
        <v>0</v>
      </c>
      <c r="O819" t="n">
        <v>1</v>
      </c>
      <c r="P819" t="n">
        <v>0</v>
      </c>
      <c r="Q819" t="n">
        <v>3</v>
      </c>
      <c r="R819" s="2" t="inlineStr">
        <is>
          <t>Orange taggsvamp
Dropptaggsvamp
Vedticka</t>
        </is>
      </c>
      <c r="S819">
        <f>HYPERLINK("https://klasma.github.io/Logging_2481/artfynd/A 54566-2024 artfynd.xlsx", "A 54566-2024")</f>
        <v/>
      </c>
      <c r="T819">
        <f>HYPERLINK("https://klasma.github.io/Logging_2481/kartor/A 54566-2024 karta.png", "A 54566-2024")</f>
        <v/>
      </c>
      <c r="V819">
        <f>HYPERLINK("https://klasma.github.io/Logging_2481/klagomål/A 54566-2024 FSC-klagomål.docx", "A 54566-2024")</f>
        <v/>
      </c>
      <c r="W819">
        <f>HYPERLINK("https://klasma.github.io/Logging_2481/klagomålsmail/A 54566-2024 FSC-klagomål mail.docx", "A 54566-2024")</f>
        <v/>
      </c>
      <c r="X819">
        <f>HYPERLINK("https://klasma.github.io/Logging_2481/tillsyn/A 54566-2024 tillsynsbegäran.docx", "A 54566-2024")</f>
        <v/>
      </c>
      <c r="Y819">
        <f>HYPERLINK("https://klasma.github.io/Logging_2481/tillsynsmail/A 54566-2024 tillsynsbegäran mail.docx", "A 54566-2024")</f>
        <v/>
      </c>
    </row>
    <row r="820" ht="15" customHeight="1">
      <c r="A820" t="inlineStr">
        <is>
          <t>A 54780-2024</t>
        </is>
      </c>
      <c r="B820" s="1" t="n">
        <v>45618</v>
      </c>
      <c r="C820" s="1" t="n">
        <v>45788</v>
      </c>
      <c r="D820" t="inlineStr">
        <is>
          <t>VÄSTERBOTTENS LÄN</t>
        </is>
      </c>
      <c r="E820" t="inlineStr">
        <is>
          <t>VILHELMINA</t>
        </is>
      </c>
      <c r="F820" t="inlineStr">
        <is>
          <t>SCA</t>
        </is>
      </c>
      <c r="G820" t="n">
        <v>8.199999999999999</v>
      </c>
      <c r="H820" t="n">
        <v>0</v>
      </c>
      <c r="I820" t="n">
        <v>0</v>
      </c>
      <c r="J820" t="n">
        <v>3</v>
      </c>
      <c r="K820" t="n">
        <v>0</v>
      </c>
      <c r="L820" t="n">
        <v>0</v>
      </c>
      <c r="M820" t="n">
        <v>0</v>
      </c>
      <c r="N820" t="n">
        <v>0</v>
      </c>
      <c r="O820" t="n">
        <v>3</v>
      </c>
      <c r="P820" t="n">
        <v>0</v>
      </c>
      <c r="Q820" t="n">
        <v>3</v>
      </c>
      <c r="R820" s="2" t="inlineStr">
        <is>
          <t>Gammelgransskål
Rosenticka
Tallticka</t>
        </is>
      </c>
      <c r="S820">
        <f>HYPERLINK("https://klasma.github.io/Logging_2462/artfynd/A 54780-2024 artfynd.xlsx", "A 54780-2024")</f>
        <v/>
      </c>
      <c r="T820">
        <f>HYPERLINK("https://klasma.github.io/Logging_2462/kartor/A 54780-2024 karta.png", "A 54780-2024")</f>
        <v/>
      </c>
      <c r="V820">
        <f>HYPERLINK("https://klasma.github.io/Logging_2462/klagomål/A 54780-2024 FSC-klagomål.docx", "A 54780-2024")</f>
        <v/>
      </c>
      <c r="W820">
        <f>HYPERLINK("https://klasma.github.io/Logging_2462/klagomålsmail/A 54780-2024 FSC-klagomål mail.docx", "A 54780-2024")</f>
        <v/>
      </c>
      <c r="X820">
        <f>HYPERLINK("https://klasma.github.io/Logging_2462/tillsyn/A 54780-2024 tillsynsbegäran.docx", "A 54780-2024")</f>
        <v/>
      </c>
      <c r="Y820">
        <f>HYPERLINK("https://klasma.github.io/Logging_2462/tillsynsmail/A 54780-2024 tillsynsbegäran mail.docx", "A 54780-2024")</f>
        <v/>
      </c>
    </row>
    <row r="821" ht="15" customHeight="1">
      <c r="A821" t="inlineStr">
        <is>
          <t>A 55046-2024</t>
        </is>
      </c>
      <c r="B821" s="1" t="n">
        <v>45618</v>
      </c>
      <c r="C821" s="1" t="n">
        <v>45788</v>
      </c>
      <c r="D821" t="inlineStr">
        <is>
          <t>VÄSTERBOTTENS LÄN</t>
        </is>
      </c>
      <c r="E821" t="inlineStr">
        <is>
          <t>LYCKSELE</t>
        </is>
      </c>
      <c r="G821" t="n">
        <v>2.4</v>
      </c>
      <c r="H821" t="n">
        <v>1</v>
      </c>
      <c r="I821" t="n">
        <v>0</v>
      </c>
      <c r="J821" t="n">
        <v>3</v>
      </c>
      <c r="K821" t="n">
        <v>0</v>
      </c>
      <c r="L821" t="n">
        <v>0</v>
      </c>
      <c r="M821" t="n">
        <v>0</v>
      </c>
      <c r="N821" t="n">
        <v>0</v>
      </c>
      <c r="O821" t="n">
        <v>3</v>
      </c>
      <c r="P821" t="n">
        <v>0</v>
      </c>
      <c r="Q821" t="n">
        <v>3</v>
      </c>
      <c r="R821" s="2" t="inlineStr">
        <is>
          <t>Gammelgransskål
Tretåig hackspett
Vitgrynig nållav</t>
        </is>
      </c>
      <c r="S821">
        <f>HYPERLINK("https://klasma.github.io/Logging_2481/artfynd/A 55046-2024 artfynd.xlsx", "A 55046-2024")</f>
        <v/>
      </c>
      <c r="T821">
        <f>HYPERLINK("https://klasma.github.io/Logging_2481/kartor/A 55046-2024 karta.png", "A 55046-2024")</f>
        <v/>
      </c>
      <c r="V821">
        <f>HYPERLINK("https://klasma.github.io/Logging_2481/klagomål/A 55046-2024 FSC-klagomål.docx", "A 55046-2024")</f>
        <v/>
      </c>
      <c r="W821">
        <f>HYPERLINK("https://klasma.github.io/Logging_2481/klagomålsmail/A 55046-2024 FSC-klagomål mail.docx", "A 55046-2024")</f>
        <v/>
      </c>
      <c r="X821">
        <f>HYPERLINK("https://klasma.github.io/Logging_2481/tillsyn/A 55046-2024 tillsynsbegäran.docx", "A 55046-2024")</f>
        <v/>
      </c>
      <c r="Y821">
        <f>HYPERLINK("https://klasma.github.io/Logging_2481/tillsynsmail/A 55046-2024 tillsynsbegäran mail.docx", "A 55046-2024")</f>
        <v/>
      </c>
      <c r="Z821">
        <f>HYPERLINK("https://klasma.github.io/Logging_2481/fåglar/A 55046-2024 prioriterade fågelarter.docx", "A 55046-2024")</f>
        <v/>
      </c>
    </row>
    <row r="822" ht="15" customHeight="1">
      <c r="A822" t="inlineStr">
        <is>
          <t>A 54802-2024</t>
        </is>
      </c>
      <c r="B822" s="1" t="n">
        <v>45618</v>
      </c>
      <c r="C822" s="1" t="n">
        <v>45788</v>
      </c>
      <c r="D822" t="inlineStr">
        <is>
          <t>VÄSTERBOTTENS LÄN</t>
        </is>
      </c>
      <c r="E822" t="inlineStr">
        <is>
          <t>LYCKSELE</t>
        </is>
      </c>
      <c r="F822" t="inlineStr">
        <is>
          <t>Sveaskog</t>
        </is>
      </c>
      <c r="G822" t="n">
        <v>6.2</v>
      </c>
      <c r="H822" t="n">
        <v>1</v>
      </c>
      <c r="I822" t="n">
        <v>1</v>
      </c>
      <c r="J822" t="n">
        <v>1</v>
      </c>
      <c r="K822" t="n">
        <v>1</v>
      </c>
      <c r="L822" t="n">
        <v>0</v>
      </c>
      <c r="M822" t="n">
        <v>0</v>
      </c>
      <c r="N822" t="n">
        <v>0</v>
      </c>
      <c r="O822" t="n">
        <v>2</v>
      </c>
      <c r="P822" t="n">
        <v>1</v>
      </c>
      <c r="Q822" t="n">
        <v>3</v>
      </c>
      <c r="R822" s="2" t="inlineStr">
        <is>
          <t>Doftticka
Blå taggsvamp
Dropptaggsvamp</t>
        </is>
      </c>
      <c r="S822">
        <f>HYPERLINK("https://klasma.github.io/Logging_2481/artfynd/A 54802-2024 artfynd.xlsx", "A 54802-2024")</f>
        <v/>
      </c>
      <c r="T822">
        <f>HYPERLINK("https://klasma.github.io/Logging_2481/kartor/A 54802-2024 karta.png", "A 54802-2024")</f>
        <v/>
      </c>
      <c r="V822">
        <f>HYPERLINK("https://klasma.github.io/Logging_2481/klagomål/A 54802-2024 FSC-klagomål.docx", "A 54802-2024")</f>
        <v/>
      </c>
      <c r="W822">
        <f>HYPERLINK("https://klasma.github.io/Logging_2481/klagomålsmail/A 54802-2024 FSC-klagomål mail.docx", "A 54802-2024")</f>
        <v/>
      </c>
      <c r="X822">
        <f>HYPERLINK("https://klasma.github.io/Logging_2481/tillsyn/A 54802-2024 tillsynsbegäran.docx", "A 54802-2024")</f>
        <v/>
      </c>
      <c r="Y822">
        <f>HYPERLINK("https://klasma.github.io/Logging_2481/tillsynsmail/A 54802-2024 tillsynsbegäran mail.docx", "A 54802-2024")</f>
        <v/>
      </c>
    </row>
    <row r="823" ht="15" customHeight="1">
      <c r="A823" t="inlineStr">
        <is>
          <t>A 55641-2024</t>
        </is>
      </c>
      <c r="B823" s="1" t="n">
        <v>45622</v>
      </c>
      <c r="C823" s="1" t="n">
        <v>45788</v>
      </c>
      <c r="D823" t="inlineStr">
        <is>
          <t>VÄSTERBOTTENS LÄN</t>
        </is>
      </c>
      <c r="E823" t="inlineStr">
        <is>
          <t>NORSJÖ</t>
        </is>
      </c>
      <c r="F823" t="inlineStr">
        <is>
          <t>Sveaskog</t>
        </is>
      </c>
      <c r="G823" t="n">
        <v>14.6</v>
      </c>
      <c r="H823" t="n">
        <v>0</v>
      </c>
      <c r="I823" t="n">
        <v>0</v>
      </c>
      <c r="J823" t="n">
        <v>3</v>
      </c>
      <c r="K823" t="n">
        <v>0</v>
      </c>
      <c r="L823" t="n">
        <v>0</v>
      </c>
      <c r="M823" t="n">
        <v>0</v>
      </c>
      <c r="N823" t="n">
        <v>0</v>
      </c>
      <c r="O823" t="n">
        <v>3</v>
      </c>
      <c r="P823" t="n">
        <v>0</v>
      </c>
      <c r="Q823" t="n">
        <v>3</v>
      </c>
      <c r="R823" s="2" t="inlineStr">
        <is>
          <t>Garnlav
Granticka
Stjärntagging</t>
        </is>
      </c>
      <c r="S823">
        <f>HYPERLINK("https://klasma.github.io/Logging_2417/artfynd/A 55641-2024 artfynd.xlsx", "A 55641-2024")</f>
        <v/>
      </c>
      <c r="T823">
        <f>HYPERLINK("https://klasma.github.io/Logging_2417/kartor/A 55641-2024 karta.png", "A 55641-2024")</f>
        <v/>
      </c>
      <c r="V823">
        <f>HYPERLINK("https://klasma.github.io/Logging_2417/klagomål/A 55641-2024 FSC-klagomål.docx", "A 55641-2024")</f>
        <v/>
      </c>
      <c r="W823">
        <f>HYPERLINK("https://klasma.github.io/Logging_2417/klagomålsmail/A 55641-2024 FSC-klagomål mail.docx", "A 55641-2024")</f>
        <v/>
      </c>
      <c r="X823">
        <f>HYPERLINK("https://klasma.github.io/Logging_2417/tillsyn/A 55641-2024 tillsynsbegäran.docx", "A 55641-2024")</f>
        <v/>
      </c>
      <c r="Y823">
        <f>HYPERLINK("https://klasma.github.io/Logging_2417/tillsynsmail/A 55641-2024 tillsynsbegäran mail.docx", "A 55641-2024")</f>
        <v/>
      </c>
    </row>
    <row r="824" ht="15" customHeight="1">
      <c r="A824" t="inlineStr">
        <is>
          <t>A 56618-2024</t>
        </is>
      </c>
      <c r="B824" s="1" t="n">
        <v>45625</v>
      </c>
      <c r="C824" s="1" t="n">
        <v>45788</v>
      </c>
      <c r="D824" t="inlineStr">
        <is>
          <t>VÄSTERBOTTENS LÄN</t>
        </is>
      </c>
      <c r="E824" t="inlineStr">
        <is>
          <t>VILHELMINA</t>
        </is>
      </c>
      <c r="F824" t="inlineStr">
        <is>
          <t>Allmännings- och besparingsskogar</t>
        </is>
      </c>
      <c r="G824" t="n">
        <v>17.1</v>
      </c>
      <c r="H824" t="n">
        <v>1</v>
      </c>
      <c r="I824" t="n">
        <v>0</v>
      </c>
      <c r="J824" t="n">
        <v>3</v>
      </c>
      <c r="K824" t="n">
        <v>0</v>
      </c>
      <c r="L824" t="n">
        <v>0</v>
      </c>
      <c r="M824" t="n">
        <v>0</v>
      </c>
      <c r="N824" t="n">
        <v>0</v>
      </c>
      <c r="O824" t="n">
        <v>3</v>
      </c>
      <c r="P824" t="n">
        <v>0</v>
      </c>
      <c r="Q824" t="n">
        <v>3</v>
      </c>
      <c r="R824" s="2" t="inlineStr">
        <is>
          <t>Granticka
Tretåig hackspett
Ullticka</t>
        </is>
      </c>
      <c r="S824">
        <f>HYPERLINK("https://klasma.github.io/Logging_2462/artfynd/A 56618-2024 artfynd.xlsx", "A 56618-2024")</f>
        <v/>
      </c>
      <c r="T824">
        <f>HYPERLINK("https://klasma.github.io/Logging_2462/kartor/A 56618-2024 karta.png", "A 56618-2024")</f>
        <v/>
      </c>
      <c r="V824">
        <f>HYPERLINK("https://klasma.github.io/Logging_2462/klagomål/A 56618-2024 FSC-klagomål.docx", "A 56618-2024")</f>
        <v/>
      </c>
      <c r="W824">
        <f>HYPERLINK("https://klasma.github.io/Logging_2462/klagomålsmail/A 56618-2024 FSC-klagomål mail.docx", "A 56618-2024")</f>
        <v/>
      </c>
      <c r="X824">
        <f>HYPERLINK("https://klasma.github.io/Logging_2462/tillsyn/A 56618-2024 tillsynsbegäran.docx", "A 56618-2024")</f>
        <v/>
      </c>
      <c r="Y824">
        <f>HYPERLINK("https://klasma.github.io/Logging_2462/tillsynsmail/A 56618-2024 tillsynsbegäran mail.docx", "A 56618-2024")</f>
        <v/>
      </c>
      <c r="Z824">
        <f>HYPERLINK("https://klasma.github.io/Logging_2462/fåglar/A 56618-2024 prioriterade fågelarter.docx", "A 56618-2024")</f>
        <v/>
      </c>
    </row>
    <row r="825" ht="15" customHeight="1">
      <c r="A825" t="inlineStr">
        <is>
          <t>A 57357-2024</t>
        </is>
      </c>
      <c r="B825" s="1" t="n">
        <v>45629</v>
      </c>
      <c r="C825" s="1" t="n">
        <v>45788</v>
      </c>
      <c r="D825" t="inlineStr">
        <is>
          <t>VÄSTERBOTTENS LÄN</t>
        </is>
      </c>
      <c r="E825" t="inlineStr">
        <is>
          <t>LYCKSELE</t>
        </is>
      </c>
      <c r="F825" t="inlineStr">
        <is>
          <t>Sveaskog</t>
        </is>
      </c>
      <c r="G825" t="n">
        <v>9.699999999999999</v>
      </c>
      <c r="H825" t="n">
        <v>0</v>
      </c>
      <c r="I825" t="n">
        <v>0</v>
      </c>
      <c r="J825" t="n">
        <v>3</v>
      </c>
      <c r="K825" t="n">
        <v>0</v>
      </c>
      <c r="L825" t="n">
        <v>0</v>
      </c>
      <c r="M825" t="n">
        <v>0</v>
      </c>
      <c r="N825" t="n">
        <v>0</v>
      </c>
      <c r="O825" t="n">
        <v>3</v>
      </c>
      <c r="P825" t="n">
        <v>0</v>
      </c>
      <c r="Q825" t="n">
        <v>3</v>
      </c>
      <c r="R825" s="2" t="inlineStr">
        <is>
          <t>Doftskinn
Gammelgransskål
Garnlav</t>
        </is>
      </c>
      <c r="S825">
        <f>HYPERLINK("https://klasma.github.io/Logging_2481/artfynd/A 57357-2024 artfynd.xlsx", "A 57357-2024")</f>
        <v/>
      </c>
      <c r="T825">
        <f>HYPERLINK("https://klasma.github.io/Logging_2481/kartor/A 57357-2024 karta.png", "A 57357-2024")</f>
        <v/>
      </c>
      <c r="V825">
        <f>HYPERLINK("https://klasma.github.io/Logging_2481/klagomål/A 57357-2024 FSC-klagomål.docx", "A 57357-2024")</f>
        <v/>
      </c>
      <c r="W825">
        <f>HYPERLINK("https://klasma.github.io/Logging_2481/klagomålsmail/A 57357-2024 FSC-klagomål mail.docx", "A 57357-2024")</f>
        <v/>
      </c>
      <c r="X825">
        <f>HYPERLINK("https://klasma.github.io/Logging_2481/tillsyn/A 57357-2024 tillsynsbegäran.docx", "A 57357-2024")</f>
        <v/>
      </c>
      <c r="Y825">
        <f>HYPERLINK("https://klasma.github.io/Logging_2481/tillsynsmail/A 57357-2024 tillsynsbegäran mail.docx", "A 57357-2024")</f>
        <v/>
      </c>
    </row>
    <row r="826" ht="15" customHeight="1">
      <c r="A826" t="inlineStr">
        <is>
          <t>A 59276-2024</t>
        </is>
      </c>
      <c r="B826" s="1" t="n">
        <v>45637</v>
      </c>
      <c r="C826" s="1" t="n">
        <v>45788</v>
      </c>
      <c r="D826" t="inlineStr">
        <is>
          <t>VÄSTERBOTTENS LÄN</t>
        </is>
      </c>
      <c r="E826" t="inlineStr">
        <is>
          <t>LYCKSELE</t>
        </is>
      </c>
      <c r="F826" t="inlineStr">
        <is>
          <t>Sveaskog</t>
        </is>
      </c>
      <c r="G826" t="n">
        <v>12</v>
      </c>
      <c r="H826" t="n">
        <v>0</v>
      </c>
      <c r="I826" t="n">
        <v>1</v>
      </c>
      <c r="J826" t="n">
        <v>2</v>
      </c>
      <c r="K826" t="n">
        <v>0</v>
      </c>
      <c r="L826" t="n">
        <v>0</v>
      </c>
      <c r="M826" t="n">
        <v>0</v>
      </c>
      <c r="N826" t="n">
        <v>0</v>
      </c>
      <c r="O826" t="n">
        <v>2</v>
      </c>
      <c r="P826" t="n">
        <v>0</v>
      </c>
      <c r="Q826" t="n">
        <v>3</v>
      </c>
      <c r="R826" s="2" t="inlineStr">
        <is>
          <t>Kolflarnlav
Motaggsvamp
Dropptaggsvamp</t>
        </is>
      </c>
      <c r="S826">
        <f>HYPERLINK("https://klasma.github.io/Logging_2481/artfynd/A 59276-2024 artfynd.xlsx", "A 59276-2024")</f>
        <v/>
      </c>
      <c r="T826">
        <f>HYPERLINK("https://klasma.github.io/Logging_2481/kartor/A 59276-2024 karta.png", "A 59276-2024")</f>
        <v/>
      </c>
      <c r="V826">
        <f>HYPERLINK("https://klasma.github.io/Logging_2481/klagomål/A 59276-2024 FSC-klagomål.docx", "A 59276-2024")</f>
        <v/>
      </c>
      <c r="W826">
        <f>HYPERLINK("https://klasma.github.io/Logging_2481/klagomålsmail/A 59276-2024 FSC-klagomål mail.docx", "A 59276-2024")</f>
        <v/>
      </c>
      <c r="X826">
        <f>HYPERLINK("https://klasma.github.io/Logging_2481/tillsyn/A 59276-2024 tillsynsbegäran.docx", "A 59276-2024")</f>
        <v/>
      </c>
      <c r="Y826">
        <f>HYPERLINK("https://klasma.github.io/Logging_2481/tillsynsmail/A 59276-2024 tillsynsbegäran mail.docx", "A 59276-2024")</f>
        <v/>
      </c>
    </row>
    <row r="827" ht="15" customHeight="1">
      <c r="A827" t="inlineStr">
        <is>
          <t>A 60422-2024</t>
        </is>
      </c>
      <c r="B827" s="1" t="n">
        <v>45643</v>
      </c>
      <c r="C827" s="1" t="n">
        <v>45788</v>
      </c>
      <c r="D827" t="inlineStr">
        <is>
          <t>VÄSTERBOTTENS LÄN</t>
        </is>
      </c>
      <c r="E827" t="inlineStr">
        <is>
          <t>LYCKSELE</t>
        </is>
      </c>
      <c r="F827" t="inlineStr">
        <is>
          <t>Sveaskog</t>
        </is>
      </c>
      <c r="G827" t="n">
        <v>12</v>
      </c>
      <c r="H827" t="n">
        <v>0</v>
      </c>
      <c r="I827" t="n">
        <v>1</v>
      </c>
      <c r="J827" t="n">
        <v>2</v>
      </c>
      <c r="K827" t="n">
        <v>0</v>
      </c>
      <c r="L827" t="n">
        <v>0</v>
      </c>
      <c r="M827" t="n">
        <v>0</v>
      </c>
      <c r="N827" t="n">
        <v>0</v>
      </c>
      <c r="O827" t="n">
        <v>2</v>
      </c>
      <c r="P827" t="n">
        <v>0</v>
      </c>
      <c r="Q827" t="n">
        <v>3</v>
      </c>
      <c r="R827" s="2" t="inlineStr">
        <is>
          <t>Kolflarnlav
Motaggsvamp
Dropptaggsvamp</t>
        </is>
      </c>
      <c r="S827">
        <f>HYPERLINK("https://klasma.github.io/Logging_2481/artfynd/A 60422-2024 artfynd.xlsx", "A 60422-2024")</f>
        <v/>
      </c>
      <c r="T827">
        <f>HYPERLINK("https://klasma.github.io/Logging_2481/kartor/A 60422-2024 karta.png", "A 60422-2024")</f>
        <v/>
      </c>
      <c r="V827">
        <f>HYPERLINK("https://klasma.github.io/Logging_2481/klagomål/A 60422-2024 FSC-klagomål.docx", "A 60422-2024")</f>
        <v/>
      </c>
      <c r="W827">
        <f>HYPERLINK("https://klasma.github.io/Logging_2481/klagomålsmail/A 60422-2024 FSC-klagomål mail.docx", "A 60422-2024")</f>
        <v/>
      </c>
      <c r="X827">
        <f>HYPERLINK("https://klasma.github.io/Logging_2481/tillsyn/A 60422-2024 tillsynsbegäran.docx", "A 60422-2024")</f>
        <v/>
      </c>
      <c r="Y827">
        <f>HYPERLINK("https://klasma.github.io/Logging_2481/tillsynsmail/A 60422-2024 tillsynsbegäran mail.docx", "A 60422-2024")</f>
        <v/>
      </c>
    </row>
    <row r="828" ht="15" customHeight="1">
      <c r="A828" t="inlineStr">
        <is>
          <t>A 60737-2024</t>
        </is>
      </c>
      <c r="B828" s="1" t="n">
        <v>45644</v>
      </c>
      <c r="C828" s="1" t="n">
        <v>45788</v>
      </c>
      <c r="D828" t="inlineStr">
        <is>
          <t>VÄSTERBOTTENS LÄN</t>
        </is>
      </c>
      <c r="E828" t="inlineStr">
        <is>
          <t>VILHELMINA</t>
        </is>
      </c>
      <c r="G828" t="n">
        <v>199.5</v>
      </c>
      <c r="H828" t="n">
        <v>3</v>
      </c>
      <c r="I828" t="n">
        <v>0</v>
      </c>
      <c r="J828" t="n">
        <v>2</v>
      </c>
      <c r="K828" t="n">
        <v>0</v>
      </c>
      <c r="L828" t="n">
        <v>0</v>
      </c>
      <c r="M828" t="n">
        <v>0</v>
      </c>
      <c r="N828" t="n">
        <v>0</v>
      </c>
      <c r="O828" t="n">
        <v>2</v>
      </c>
      <c r="P828" t="n">
        <v>0</v>
      </c>
      <c r="Q828" t="n">
        <v>3</v>
      </c>
      <c r="R828" s="2" t="inlineStr">
        <is>
          <t>Alfågel
Järpe
Skogsrör</t>
        </is>
      </c>
      <c r="S828">
        <f>HYPERLINK("https://klasma.github.io/Logging_2462/artfynd/A 60737-2024 artfynd.xlsx", "A 60737-2024")</f>
        <v/>
      </c>
      <c r="T828">
        <f>HYPERLINK("https://klasma.github.io/Logging_2462/kartor/A 60737-2024 karta.png", "A 60737-2024")</f>
        <v/>
      </c>
      <c r="V828">
        <f>HYPERLINK("https://klasma.github.io/Logging_2462/klagomål/A 60737-2024 FSC-klagomål.docx", "A 60737-2024")</f>
        <v/>
      </c>
      <c r="W828">
        <f>HYPERLINK("https://klasma.github.io/Logging_2462/klagomålsmail/A 60737-2024 FSC-klagomål mail.docx", "A 60737-2024")</f>
        <v/>
      </c>
      <c r="X828">
        <f>HYPERLINK("https://klasma.github.io/Logging_2462/tillsyn/A 60737-2024 tillsynsbegäran.docx", "A 60737-2024")</f>
        <v/>
      </c>
      <c r="Y828">
        <f>HYPERLINK("https://klasma.github.io/Logging_2462/tillsynsmail/A 60737-2024 tillsynsbegäran mail.docx", "A 60737-2024")</f>
        <v/>
      </c>
      <c r="Z828">
        <f>HYPERLINK("https://klasma.github.io/Logging_2462/fåglar/A 60737-2024 prioriterade fågelarter.docx", "A 60737-2024")</f>
        <v/>
      </c>
    </row>
    <row r="829" ht="15" customHeight="1">
      <c r="A829" t="inlineStr">
        <is>
          <t>A 535-2025</t>
        </is>
      </c>
      <c r="B829" s="1" t="n">
        <v>45664</v>
      </c>
      <c r="C829" s="1" t="n">
        <v>45788</v>
      </c>
      <c r="D829" t="inlineStr">
        <is>
          <t>VÄSTERBOTTENS LÄN</t>
        </is>
      </c>
      <c r="E829" t="inlineStr">
        <is>
          <t>UMEÅ</t>
        </is>
      </c>
      <c r="G829" t="n">
        <v>2.7</v>
      </c>
      <c r="H829" t="n">
        <v>3</v>
      </c>
      <c r="I829" t="n">
        <v>0</v>
      </c>
      <c r="J829" t="n">
        <v>2</v>
      </c>
      <c r="K829" t="n">
        <v>0</v>
      </c>
      <c r="L829" t="n">
        <v>0</v>
      </c>
      <c r="M829" t="n">
        <v>0</v>
      </c>
      <c r="N829" t="n">
        <v>0</v>
      </c>
      <c r="O829" t="n">
        <v>2</v>
      </c>
      <c r="P829" t="n">
        <v>0</v>
      </c>
      <c r="Q829" t="n">
        <v>3</v>
      </c>
      <c r="R829" s="2" t="inlineStr">
        <is>
          <t>Järpe
Talltita
Kungsfågel</t>
        </is>
      </c>
      <c r="S829">
        <f>HYPERLINK("https://klasma.github.io/Logging_2480/artfynd/A 535-2025 artfynd.xlsx", "A 535-2025")</f>
        <v/>
      </c>
      <c r="T829">
        <f>HYPERLINK("https://klasma.github.io/Logging_2480/kartor/A 535-2025 karta.png", "A 535-2025")</f>
        <v/>
      </c>
      <c r="V829">
        <f>HYPERLINK("https://klasma.github.io/Logging_2480/klagomål/A 535-2025 FSC-klagomål.docx", "A 535-2025")</f>
        <v/>
      </c>
      <c r="W829">
        <f>HYPERLINK("https://klasma.github.io/Logging_2480/klagomålsmail/A 535-2025 FSC-klagomål mail.docx", "A 535-2025")</f>
        <v/>
      </c>
      <c r="X829">
        <f>HYPERLINK("https://klasma.github.io/Logging_2480/tillsyn/A 535-2025 tillsynsbegäran.docx", "A 535-2025")</f>
        <v/>
      </c>
      <c r="Y829">
        <f>HYPERLINK("https://klasma.github.io/Logging_2480/tillsynsmail/A 535-2025 tillsynsbegäran mail.docx", "A 535-2025")</f>
        <v/>
      </c>
      <c r="Z829">
        <f>HYPERLINK("https://klasma.github.io/Logging_2480/fåglar/A 535-2025 prioriterade fågelarter.docx", "A 535-2025")</f>
        <v/>
      </c>
    </row>
    <row r="830" ht="15" customHeight="1">
      <c r="A830" t="inlineStr">
        <is>
          <t>A 1224-2025</t>
        </is>
      </c>
      <c r="B830" s="1" t="n">
        <v>45667</v>
      </c>
      <c r="C830" s="1" t="n">
        <v>45788</v>
      </c>
      <c r="D830" t="inlineStr">
        <is>
          <t>VÄSTERBOTTENS LÄN</t>
        </is>
      </c>
      <c r="E830" t="inlineStr">
        <is>
          <t>VILHELMINA</t>
        </is>
      </c>
      <c r="G830" t="n">
        <v>4.9</v>
      </c>
      <c r="H830" t="n">
        <v>0</v>
      </c>
      <c r="I830" t="n">
        <v>0</v>
      </c>
      <c r="J830" t="n">
        <v>3</v>
      </c>
      <c r="K830" t="n">
        <v>0</v>
      </c>
      <c r="L830" t="n">
        <v>0</v>
      </c>
      <c r="M830" t="n">
        <v>0</v>
      </c>
      <c r="N830" t="n">
        <v>0</v>
      </c>
      <c r="O830" t="n">
        <v>3</v>
      </c>
      <c r="P830" t="n">
        <v>0</v>
      </c>
      <c r="Q830" t="n">
        <v>3</v>
      </c>
      <c r="R830" s="2" t="inlineStr">
        <is>
          <t>Garnlav
Granticka
Harticka</t>
        </is>
      </c>
      <c r="S830">
        <f>HYPERLINK("https://klasma.github.io/Logging_2462/artfynd/A 1224-2025 artfynd.xlsx", "A 1224-2025")</f>
        <v/>
      </c>
      <c r="T830">
        <f>HYPERLINK("https://klasma.github.io/Logging_2462/kartor/A 1224-2025 karta.png", "A 1224-2025")</f>
        <v/>
      </c>
      <c r="V830">
        <f>HYPERLINK("https://klasma.github.io/Logging_2462/klagomål/A 1224-2025 FSC-klagomål.docx", "A 1224-2025")</f>
        <v/>
      </c>
      <c r="W830">
        <f>HYPERLINK("https://klasma.github.io/Logging_2462/klagomålsmail/A 1224-2025 FSC-klagomål mail.docx", "A 1224-2025")</f>
        <v/>
      </c>
      <c r="X830">
        <f>HYPERLINK("https://klasma.github.io/Logging_2462/tillsyn/A 1224-2025 tillsynsbegäran.docx", "A 1224-2025")</f>
        <v/>
      </c>
      <c r="Y830">
        <f>HYPERLINK("https://klasma.github.io/Logging_2462/tillsynsmail/A 1224-2025 tillsynsbegäran mail.docx", "A 1224-2025")</f>
        <v/>
      </c>
    </row>
    <row r="831" ht="15" customHeight="1">
      <c r="A831" t="inlineStr">
        <is>
          <t>A 1232-2025</t>
        </is>
      </c>
      <c r="B831" s="1" t="n">
        <v>45667</v>
      </c>
      <c r="C831" s="1" t="n">
        <v>45788</v>
      </c>
      <c r="D831" t="inlineStr">
        <is>
          <t>VÄSTERBOTTENS LÄN</t>
        </is>
      </c>
      <c r="E831" t="inlineStr">
        <is>
          <t>VILHELMINA</t>
        </is>
      </c>
      <c r="G831" t="n">
        <v>4.8</v>
      </c>
      <c r="H831" t="n">
        <v>1</v>
      </c>
      <c r="I831" t="n">
        <v>0</v>
      </c>
      <c r="J831" t="n">
        <v>3</v>
      </c>
      <c r="K831" t="n">
        <v>0</v>
      </c>
      <c r="L831" t="n">
        <v>0</v>
      </c>
      <c r="M831" t="n">
        <v>0</v>
      </c>
      <c r="N831" t="n">
        <v>0</v>
      </c>
      <c r="O831" t="n">
        <v>3</v>
      </c>
      <c r="P831" t="n">
        <v>0</v>
      </c>
      <c r="Q831" t="n">
        <v>3</v>
      </c>
      <c r="R831" s="2" t="inlineStr">
        <is>
          <t>Duvhök
Garnlav
Granticka</t>
        </is>
      </c>
      <c r="S831">
        <f>HYPERLINK("https://klasma.github.io/Logging_2462/artfynd/A 1232-2025 artfynd.xlsx", "A 1232-2025")</f>
        <v/>
      </c>
      <c r="T831">
        <f>HYPERLINK("https://klasma.github.io/Logging_2462/kartor/A 1232-2025 karta.png", "A 1232-2025")</f>
        <v/>
      </c>
      <c r="V831">
        <f>HYPERLINK("https://klasma.github.io/Logging_2462/klagomål/A 1232-2025 FSC-klagomål.docx", "A 1232-2025")</f>
        <v/>
      </c>
      <c r="W831">
        <f>HYPERLINK("https://klasma.github.io/Logging_2462/klagomålsmail/A 1232-2025 FSC-klagomål mail.docx", "A 1232-2025")</f>
        <v/>
      </c>
      <c r="X831">
        <f>HYPERLINK("https://klasma.github.io/Logging_2462/tillsyn/A 1232-2025 tillsynsbegäran.docx", "A 1232-2025")</f>
        <v/>
      </c>
      <c r="Y831">
        <f>HYPERLINK("https://klasma.github.io/Logging_2462/tillsynsmail/A 1232-2025 tillsynsbegäran mail.docx", "A 1232-2025")</f>
        <v/>
      </c>
      <c r="Z831">
        <f>HYPERLINK("https://klasma.github.io/Logging_2462/fåglar/A 1232-2025 prioriterade fågelarter.docx", "A 1232-2025")</f>
        <v/>
      </c>
    </row>
    <row r="832" ht="15" customHeight="1">
      <c r="A832" t="inlineStr">
        <is>
          <t>A 3933-2025</t>
        </is>
      </c>
      <c r="B832" s="1" t="n">
        <v>45684</v>
      </c>
      <c r="C832" s="1" t="n">
        <v>45788</v>
      </c>
      <c r="D832" t="inlineStr">
        <is>
          <t>VÄSTERBOTTENS LÄN</t>
        </is>
      </c>
      <c r="E832" t="inlineStr">
        <is>
          <t>UMEÅ</t>
        </is>
      </c>
      <c r="G832" t="n">
        <v>8.300000000000001</v>
      </c>
      <c r="H832" t="n">
        <v>0</v>
      </c>
      <c r="I832" t="n">
        <v>0</v>
      </c>
      <c r="J832" t="n">
        <v>3</v>
      </c>
      <c r="K832" t="n">
        <v>0</v>
      </c>
      <c r="L832" t="n">
        <v>0</v>
      </c>
      <c r="M832" t="n">
        <v>0</v>
      </c>
      <c r="N832" t="n">
        <v>0</v>
      </c>
      <c r="O832" t="n">
        <v>3</v>
      </c>
      <c r="P832" t="n">
        <v>0</v>
      </c>
      <c r="Q832" t="n">
        <v>3</v>
      </c>
      <c r="R832" s="2" t="inlineStr">
        <is>
          <t>Garnlav
Granticka
Mörk kolflarnlav</t>
        </is>
      </c>
      <c r="S832">
        <f>HYPERLINK("https://klasma.github.io/Logging_2480/artfynd/A 3933-2025 artfynd.xlsx", "A 3933-2025")</f>
        <v/>
      </c>
      <c r="T832">
        <f>HYPERLINK("https://klasma.github.io/Logging_2480/kartor/A 3933-2025 karta.png", "A 3933-2025")</f>
        <v/>
      </c>
      <c r="V832">
        <f>HYPERLINK("https://klasma.github.io/Logging_2480/klagomål/A 3933-2025 FSC-klagomål.docx", "A 3933-2025")</f>
        <v/>
      </c>
      <c r="W832">
        <f>HYPERLINK("https://klasma.github.io/Logging_2480/klagomålsmail/A 3933-2025 FSC-klagomål mail.docx", "A 3933-2025")</f>
        <v/>
      </c>
      <c r="X832">
        <f>HYPERLINK("https://klasma.github.io/Logging_2480/tillsyn/A 3933-2025 tillsynsbegäran.docx", "A 3933-2025")</f>
        <v/>
      </c>
      <c r="Y832">
        <f>HYPERLINK("https://klasma.github.io/Logging_2480/tillsynsmail/A 3933-2025 tillsynsbegäran mail.docx", "A 3933-2025")</f>
        <v/>
      </c>
    </row>
    <row r="833" ht="15" customHeight="1">
      <c r="A833" t="inlineStr">
        <is>
          <t>A 4450-2025</t>
        </is>
      </c>
      <c r="B833" s="1" t="n">
        <v>45686</v>
      </c>
      <c r="C833" s="1" t="n">
        <v>45788</v>
      </c>
      <c r="D833" t="inlineStr">
        <is>
          <t>VÄSTERBOTTENS LÄN</t>
        </is>
      </c>
      <c r="E833" t="inlineStr">
        <is>
          <t>VÄNNÄS</t>
        </is>
      </c>
      <c r="G833" t="n">
        <v>6.7</v>
      </c>
      <c r="H833" t="n">
        <v>3</v>
      </c>
      <c r="I833" t="n">
        <v>0</v>
      </c>
      <c r="J833" t="n">
        <v>2</v>
      </c>
      <c r="K833" t="n">
        <v>0</v>
      </c>
      <c r="L833" t="n">
        <v>0</v>
      </c>
      <c r="M833" t="n">
        <v>0</v>
      </c>
      <c r="N833" t="n">
        <v>0</v>
      </c>
      <c r="O833" t="n">
        <v>2</v>
      </c>
      <c r="P833" t="n">
        <v>0</v>
      </c>
      <c r="Q833" t="n">
        <v>3</v>
      </c>
      <c r="R833" s="2" t="inlineStr">
        <is>
          <t>Spillkråka
Talltita
Tjäder</t>
        </is>
      </c>
      <c r="S833">
        <f>HYPERLINK("https://klasma.github.io/Logging_2460/artfynd/A 4450-2025 artfynd.xlsx", "A 4450-2025")</f>
        <v/>
      </c>
      <c r="T833">
        <f>HYPERLINK("https://klasma.github.io/Logging_2460/kartor/A 4450-2025 karta.png", "A 4450-2025")</f>
        <v/>
      </c>
      <c r="V833">
        <f>HYPERLINK("https://klasma.github.io/Logging_2460/klagomål/A 4450-2025 FSC-klagomål.docx", "A 4450-2025")</f>
        <v/>
      </c>
      <c r="W833">
        <f>HYPERLINK("https://klasma.github.io/Logging_2460/klagomålsmail/A 4450-2025 FSC-klagomål mail.docx", "A 4450-2025")</f>
        <v/>
      </c>
      <c r="X833">
        <f>HYPERLINK("https://klasma.github.io/Logging_2460/tillsyn/A 4450-2025 tillsynsbegäran.docx", "A 4450-2025")</f>
        <v/>
      </c>
      <c r="Y833">
        <f>HYPERLINK("https://klasma.github.io/Logging_2460/tillsynsmail/A 4450-2025 tillsynsbegäran mail.docx", "A 4450-2025")</f>
        <v/>
      </c>
      <c r="Z833">
        <f>HYPERLINK("https://klasma.github.io/Logging_2460/fåglar/A 4450-2025 prioriterade fågelarter.docx", "A 4450-2025")</f>
        <v/>
      </c>
    </row>
    <row r="834" ht="15" customHeight="1">
      <c r="A834" t="inlineStr">
        <is>
          <t>A 4962-2025</t>
        </is>
      </c>
      <c r="B834" s="1" t="n">
        <v>45690</v>
      </c>
      <c r="C834" s="1" t="n">
        <v>45788</v>
      </c>
      <c r="D834" t="inlineStr">
        <is>
          <t>VÄSTERBOTTENS LÄN</t>
        </is>
      </c>
      <c r="E834" t="inlineStr">
        <is>
          <t>STORUMAN</t>
        </is>
      </c>
      <c r="G834" t="n">
        <v>12.1</v>
      </c>
      <c r="H834" t="n">
        <v>1</v>
      </c>
      <c r="I834" t="n">
        <v>0</v>
      </c>
      <c r="J834" t="n">
        <v>3</v>
      </c>
      <c r="K834" t="n">
        <v>0</v>
      </c>
      <c r="L834" t="n">
        <v>0</v>
      </c>
      <c r="M834" t="n">
        <v>0</v>
      </c>
      <c r="N834" t="n">
        <v>0</v>
      </c>
      <c r="O834" t="n">
        <v>3</v>
      </c>
      <c r="P834" t="n">
        <v>0</v>
      </c>
      <c r="Q834" t="n">
        <v>3</v>
      </c>
      <c r="R834" s="2" t="inlineStr">
        <is>
          <t>Gammelgransskål
Harticka
Tretåig hackspett</t>
        </is>
      </c>
      <c r="S834">
        <f>HYPERLINK("https://klasma.github.io/Logging_2421/artfynd/A 4962-2025 artfynd.xlsx", "A 4962-2025")</f>
        <v/>
      </c>
      <c r="T834">
        <f>HYPERLINK("https://klasma.github.io/Logging_2421/kartor/A 4962-2025 karta.png", "A 4962-2025")</f>
        <v/>
      </c>
      <c r="V834">
        <f>HYPERLINK("https://klasma.github.io/Logging_2421/klagomål/A 4962-2025 FSC-klagomål.docx", "A 4962-2025")</f>
        <v/>
      </c>
      <c r="W834">
        <f>HYPERLINK("https://klasma.github.io/Logging_2421/klagomålsmail/A 4962-2025 FSC-klagomål mail.docx", "A 4962-2025")</f>
        <v/>
      </c>
      <c r="X834">
        <f>HYPERLINK("https://klasma.github.io/Logging_2421/tillsyn/A 4962-2025 tillsynsbegäran.docx", "A 4962-2025")</f>
        <v/>
      </c>
      <c r="Y834">
        <f>HYPERLINK("https://klasma.github.io/Logging_2421/tillsynsmail/A 4962-2025 tillsynsbegäran mail.docx", "A 4962-2025")</f>
        <v/>
      </c>
      <c r="Z834">
        <f>HYPERLINK("https://klasma.github.io/Logging_2421/fåglar/A 4962-2025 prioriterade fågelarter.docx", "A 4962-2025")</f>
        <v/>
      </c>
    </row>
    <row r="835" ht="15" customHeight="1">
      <c r="A835" t="inlineStr">
        <is>
          <t>A 5696-2025</t>
        </is>
      </c>
      <c r="B835" s="1" t="n">
        <v>45694</v>
      </c>
      <c r="C835" s="1" t="n">
        <v>45788</v>
      </c>
      <c r="D835" t="inlineStr">
        <is>
          <t>VÄSTERBOTTENS LÄN</t>
        </is>
      </c>
      <c r="E835" t="inlineStr">
        <is>
          <t>LYCKSELE</t>
        </is>
      </c>
      <c r="G835" t="n">
        <v>6.4</v>
      </c>
      <c r="H835" t="n">
        <v>1</v>
      </c>
      <c r="I835" t="n">
        <v>1</v>
      </c>
      <c r="J835" t="n">
        <v>2</v>
      </c>
      <c r="K835" t="n">
        <v>0</v>
      </c>
      <c r="L835" t="n">
        <v>0</v>
      </c>
      <c r="M835" t="n">
        <v>0</v>
      </c>
      <c r="N835" t="n">
        <v>0</v>
      </c>
      <c r="O835" t="n">
        <v>2</v>
      </c>
      <c r="P835" t="n">
        <v>0</v>
      </c>
      <c r="Q835" t="n">
        <v>3</v>
      </c>
      <c r="R835" s="2" t="inlineStr">
        <is>
          <t>Blå taggsvamp
Tretåig hackspett
Dropptaggsvamp</t>
        </is>
      </c>
      <c r="S835">
        <f>HYPERLINK("https://klasma.github.io/Logging_2481/artfynd/A 5696-2025 artfynd.xlsx", "A 5696-2025")</f>
        <v/>
      </c>
      <c r="T835">
        <f>HYPERLINK("https://klasma.github.io/Logging_2481/kartor/A 5696-2025 karta.png", "A 5696-2025")</f>
        <v/>
      </c>
      <c r="V835">
        <f>HYPERLINK("https://klasma.github.io/Logging_2481/klagomål/A 5696-2025 FSC-klagomål.docx", "A 5696-2025")</f>
        <v/>
      </c>
      <c r="W835">
        <f>HYPERLINK("https://klasma.github.io/Logging_2481/klagomålsmail/A 5696-2025 FSC-klagomål mail.docx", "A 5696-2025")</f>
        <v/>
      </c>
      <c r="X835">
        <f>HYPERLINK("https://klasma.github.io/Logging_2481/tillsyn/A 5696-2025 tillsynsbegäran.docx", "A 5696-2025")</f>
        <v/>
      </c>
      <c r="Y835">
        <f>HYPERLINK("https://klasma.github.io/Logging_2481/tillsynsmail/A 5696-2025 tillsynsbegäran mail.docx", "A 5696-2025")</f>
        <v/>
      </c>
      <c r="Z835">
        <f>HYPERLINK("https://klasma.github.io/Logging_2481/fåglar/A 5696-2025 prioriterade fågelarter.docx", "A 5696-2025")</f>
        <v/>
      </c>
    </row>
    <row r="836" ht="15" customHeight="1">
      <c r="A836" t="inlineStr">
        <is>
          <t>A 6054-2025</t>
        </is>
      </c>
      <c r="B836" s="1" t="n">
        <v>45695</v>
      </c>
      <c r="C836" s="1" t="n">
        <v>45788</v>
      </c>
      <c r="D836" t="inlineStr">
        <is>
          <t>VÄSTERBOTTENS LÄN</t>
        </is>
      </c>
      <c r="E836" t="inlineStr">
        <is>
          <t>UMEÅ</t>
        </is>
      </c>
      <c r="G836" t="n">
        <v>5.4</v>
      </c>
      <c r="H836" t="n">
        <v>1</v>
      </c>
      <c r="I836" t="n">
        <v>0</v>
      </c>
      <c r="J836" t="n">
        <v>3</v>
      </c>
      <c r="K836" t="n">
        <v>0</v>
      </c>
      <c r="L836" t="n">
        <v>0</v>
      </c>
      <c r="M836" t="n">
        <v>0</v>
      </c>
      <c r="N836" t="n">
        <v>0</v>
      </c>
      <c r="O836" t="n">
        <v>3</v>
      </c>
      <c r="P836" t="n">
        <v>0</v>
      </c>
      <c r="Q836" t="n">
        <v>3</v>
      </c>
      <c r="R836" s="2" t="inlineStr">
        <is>
          <t>Harticka
Lundsångare
Svart taggsvamp</t>
        </is>
      </c>
      <c r="S836">
        <f>HYPERLINK("https://klasma.github.io/Logging_2480/artfynd/A 6054-2025 artfynd.xlsx", "A 6054-2025")</f>
        <v/>
      </c>
      <c r="T836">
        <f>HYPERLINK("https://klasma.github.io/Logging_2480/kartor/A 6054-2025 karta.png", "A 6054-2025")</f>
        <v/>
      </c>
      <c r="V836">
        <f>HYPERLINK("https://klasma.github.io/Logging_2480/klagomål/A 6054-2025 FSC-klagomål.docx", "A 6054-2025")</f>
        <v/>
      </c>
      <c r="W836">
        <f>HYPERLINK("https://klasma.github.io/Logging_2480/klagomålsmail/A 6054-2025 FSC-klagomål mail.docx", "A 6054-2025")</f>
        <v/>
      </c>
      <c r="X836">
        <f>HYPERLINK("https://klasma.github.io/Logging_2480/tillsyn/A 6054-2025 tillsynsbegäran.docx", "A 6054-2025")</f>
        <v/>
      </c>
      <c r="Y836">
        <f>HYPERLINK("https://klasma.github.io/Logging_2480/tillsynsmail/A 6054-2025 tillsynsbegäran mail.docx", "A 6054-2025")</f>
        <v/>
      </c>
      <c r="Z836">
        <f>HYPERLINK("https://klasma.github.io/Logging_2480/fåglar/A 6054-2025 prioriterade fågelarter.docx", "A 6054-2025")</f>
        <v/>
      </c>
    </row>
    <row r="837" ht="15" customHeight="1">
      <c r="A837" t="inlineStr">
        <is>
          <t>A 6922-2025</t>
        </is>
      </c>
      <c r="B837" s="1" t="n">
        <v>45701</v>
      </c>
      <c r="C837" s="1" t="n">
        <v>45788</v>
      </c>
      <c r="D837" t="inlineStr">
        <is>
          <t>VÄSTERBOTTENS LÄN</t>
        </is>
      </c>
      <c r="E837" t="inlineStr">
        <is>
          <t>NORDMALING</t>
        </is>
      </c>
      <c r="F837" t="inlineStr">
        <is>
          <t>SCA</t>
        </is>
      </c>
      <c r="G837" t="n">
        <v>9.699999999999999</v>
      </c>
      <c r="H837" t="n">
        <v>0</v>
      </c>
      <c r="I837" t="n">
        <v>0</v>
      </c>
      <c r="J837" t="n">
        <v>3</v>
      </c>
      <c r="K837" t="n">
        <v>0</v>
      </c>
      <c r="L837" t="n">
        <v>0</v>
      </c>
      <c r="M837" t="n">
        <v>0</v>
      </c>
      <c r="N837" t="n">
        <v>0</v>
      </c>
      <c r="O837" t="n">
        <v>3</v>
      </c>
      <c r="P837" t="n">
        <v>0</v>
      </c>
      <c r="Q837" t="n">
        <v>3</v>
      </c>
      <c r="R837" s="2" t="inlineStr">
        <is>
          <t>Doftskinn
Garnlav
Violettgrå tagellav</t>
        </is>
      </c>
      <c r="S837">
        <f>HYPERLINK("https://klasma.github.io/Logging_2401/artfynd/A 6922-2025 artfynd.xlsx", "A 6922-2025")</f>
        <v/>
      </c>
      <c r="T837">
        <f>HYPERLINK("https://klasma.github.io/Logging_2401/kartor/A 6922-2025 karta.png", "A 6922-2025")</f>
        <v/>
      </c>
      <c r="V837">
        <f>HYPERLINK("https://klasma.github.io/Logging_2401/klagomål/A 6922-2025 FSC-klagomål.docx", "A 6922-2025")</f>
        <v/>
      </c>
      <c r="W837">
        <f>HYPERLINK("https://klasma.github.io/Logging_2401/klagomålsmail/A 6922-2025 FSC-klagomål mail.docx", "A 6922-2025")</f>
        <v/>
      </c>
      <c r="X837">
        <f>HYPERLINK("https://klasma.github.io/Logging_2401/tillsyn/A 6922-2025 tillsynsbegäran.docx", "A 6922-2025")</f>
        <v/>
      </c>
      <c r="Y837">
        <f>HYPERLINK("https://klasma.github.io/Logging_2401/tillsynsmail/A 6922-2025 tillsynsbegäran mail.docx", "A 6922-2025")</f>
        <v/>
      </c>
    </row>
    <row r="838" ht="15" customHeight="1">
      <c r="A838" t="inlineStr">
        <is>
          <t>A 11190-2025</t>
        </is>
      </c>
      <c r="B838" s="1" t="n">
        <v>45725</v>
      </c>
      <c r="C838" s="1" t="n">
        <v>45788</v>
      </c>
      <c r="D838" t="inlineStr">
        <is>
          <t>VÄSTERBOTTENS LÄN</t>
        </is>
      </c>
      <c r="E838" t="inlineStr">
        <is>
          <t>STORUMAN</t>
        </is>
      </c>
      <c r="G838" t="n">
        <v>31.8</v>
      </c>
      <c r="H838" t="n">
        <v>0</v>
      </c>
      <c r="I838" t="n">
        <v>0</v>
      </c>
      <c r="J838" t="n">
        <v>3</v>
      </c>
      <c r="K838" t="n">
        <v>0</v>
      </c>
      <c r="L838" t="n">
        <v>0</v>
      </c>
      <c r="M838" t="n">
        <v>0</v>
      </c>
      <c r="N838" t="n">
        <v>0</v>
      </c>
      <c r="O838" t="n">
        <v>3</v>
      </c>
      <c r="P838" t="n">
        <v>0</v>
      </c>
      <c r="Q838" t="n">
        <v>3</v>
      </c>
      <c r="R838" s="2" t="inlineStr">
        <is>
          <t>Garnlav
Lunglav
Skrovellav</t>
        </is>
      </c>
      <c r="S838">
        <f>HYPERLINK("https://klasma.github.io/Logging_242421/artfynd/A 11190-2025 artfynd.xlsx", "A 11190-2025")</f>
        <v/>
      </c>
      <c r="T838">
        <f>HYPERLINK("https://klasma.github.io/Logging_242421/kartor/A 11190-2025 karta.png", "A 11190-2025")</f>
        <v/>
      </c>
      <c r="V838">
        <f>HYPERLINK("https://klasma.github.io/Logging_242421/klagomål/A 11190-2025 FSC-klagomål.docx", "A 11190-2025")</f>
        <v/>
      </c>
      <c r="W838">
        <f>HYPERLINK("https://klasma.github.io/Logging_242421/klagomålsmail/A 11190-2025 FSC-klagomål mail.docx", "A 11190-2025")</f>
        <v/>
      </c>
      <c r="X838">
        <f>HYPERLINK("https://klasma.github.io/Logging_242421/tillsyn/A 11190-2025 tillsynsbegäran.docx", "A 11190-2025")</f>
        <v/>
      </c>
      <c r="Y838">
        <f>HYPERLINK("https://klasma.github.io/Logging_242421/tillsynsmail/A 11190-2025 tillsynsbegäran mail.docx", "A 11190-2025")</f>
        <v/>
      </c>
    </row>
    <row r="839" ht="15" customHeight="1">
      <c r="A839" t="inlineStr">
        <is>
          <t>A 11780-2025</t>
        </is>
      </c>
      <c r="B839" s="1" t="n">
        <v>45727</v>
      </c>
      <c r="C839" s="1" t="n">
        <v>45788</v>
      </c>
      <c r="D839" t="inlineStr">
        <is>
          <t>VÄSTERBOTTENS LÄN</t>
        </is>
      </c>
      <c r="E839" t="inlineStr">
        <is>
          <t>UMEÅ</t>
        </is>
      </c>
      <c r="F839" t="inlineStr">
        <is>
          <t>Kommuner</t>
        </is>
      </c>
      <c r="G839" t="n">
        <v>1.2</v>
      </c>
      <c r="H839" t="n">
        <v>0</v>
      </c>
      <c r="I839" t="n">
        <v>0</v>
      </c>
      <c r="J839" t="n">
        <v>2</v>
      </c>
      <c r="K839" t="n">
        <v>1</v>
      </c>
      <c r="L839" t="n">
        <v>0</v>
      </c>
      <c r="M839" t="n">
        <v>0</v>
      </c>
      <c r="N839" t="n">
        <v>0</v>
      </c>
      <c r="O839" t="n">
        <v>3</v>
      </c>
      <c r="P839" t="n">
        <v>1</v>
      </c>
      <c r="Q839" t="n">
        <v>3</v>
      </c>
      <c r="R839" s="2" t="inlineStr">
        <is>
          <t>Grantickeporing
Granticka
Ullticka</t>
        </is>
      </c>
      <c r="S839">
        <f>HYPERLINK("https://klasma.github.io/Logging_242480/artfynd/A 11780-2025 artfynd.xlsx", "A 11780-2025")</f>
        <v/>
      </c>
      <c r="T839">
        <f>HYPERLINK("https://klasma.github.io/Logging_242480/kartor/A 11780-2025 karta.png", "A 11780-2025")</f>
        <v/>
      </c>
      <c r="V839">
        <f>HYPERLINK("https://klasma.github.io/Logging_242480/klagomål/A 11780-2025 FSC-klagomål.docx", "A 11780-2025")</f>
        <v/>
      </c>
      <c r="W839">
        <f>HYPERLINK("https://klasma.github.io/Logging_242480/klagomålsmail/A 11780-2025 FSC-klagomål mail.docx", "A 11780-2025")</f>
        <v/>
      </c>
      <c r="X839">
        <f>HYPERLINK("https://klasma.github.io/Logging_242480/tillsyn/A 11780-2025 tillsynsbegäran.docx", "A 11780-2025")</f>
        <v/>
      </c>
      <c r="Y839">
        <f>HYPERLINK("https://klasma.github.io/Logging_242480/tillsynsmail/A 11780-2025 tillsynsbegäran mail.docx", "A 11780-2025")</f>
        <v/>
      </c>
    </row>
    <row r="840" ht="15" customHeight="1">
      <c r="A840" t="inlineStr">
        <is>
          <t>A 11796-2025</t>
        </is>
      </c>
      <c r="B840" s="1" t="n">
        <v>45727</v>
      </c>
      <c r="C840" s="1" t="n">
        <v>45788</v>
      </c>
      <c r="D840" t="inlineStr">
        <is>
          <t>VÄSTERBOTTENS LÄN</t>
        </is>
      </c>
      <c r="E840" t="inlineStr">
        <is>
          <t>UMEÅ</t>
        </is>
      </c>
      <c r="F840" t="inlineStr">
        <is>
          <t>Kommuner</t>
        </is>
      </c>
      <c r="G840" t="n">
        <v>2.5</v>
      </c>
      <c r="H840" t="n">
        <v>0</v>
      </c>
      <c r="I840" t="n">
        <v>0</v>
      </c>
      <c r="J840" t="n">
        <v>3</v>
      </c>
      <c r="K840" t="n">
        <v>0</v>
      </c>
      <c r="L840" t="n">
        <v>0</v>
      </c>
      <c r="M840" t="n">
        <v>0</v>
      </c>
      <c r="N840" t="n">
        <v>0</v>
      </c>
      <c r="O840" t="n">
        <v>3</v>
      </c>
      <c r="P840" t="n">
        <v>0</v>
      </c>
      <c r="Q840" t="n">
        <v>3</v>
      </c>
      <c r="R840" s="2" t="inlineStr">
        <is>
          <t>Granticka
Harticka
Ullticka</t>
        </is>
      </c>
      <c r="S840">
        <f>HYPERLINK("https://klasma.github.io/Logging_242480/artfynd/A 11796-2025 artfynd.xlsx", "A 11796-2025")</f>
        <v/>
      </c>
      <c r="T840">
        <f>HYPERLINK("https://klasma.github.io/Logging_242480/kartor/A 11796-2025 karta.png", "A 11796-2025")</f>
        <v/>
      </c>
      <c r="V840">
        <f>HYPERLINK("https://klasma.github.io/Logging_242480/klagomål/A 11796-2025 FSC-klagomål.docx", "A 11796-2025")</f>
        <v/>
      </c>
      <c r="W840">
        <f>HYPERLINK("https://klasma.github.io/Logging_242480/klagomålsmail/A 11796-2025 FSC-klagomål mail.docx", "A 11796-2025")</f>
        <v/>
      </c>
      <c r="X840">
        <f>HYPERLINK("https://klasma.github.io/Logging_242480/tillsyn/A 11796-2025 tillsynsbegäran.docx", "A 11796-2025")</f>
        <v/>
      </c>
      <c r="Y840">
        <f>HYPERLINK("https://klasma.github.io/Logging_242480/tillsynsmail/A 11796-2025 tillsynsbegäran mail.docx", "A 11796-2025")</f>
        <v/>
      </c>
    </row>
    <row r="841" ht="15" customHeight="1">
      <c r="A841" t="inlineStr">
        <is>
          <t>A 16463-2025</t>
        </is>
      </c>
      <c r="B841" s="1" t="n">
        <v>45751</v>
      </c>
      <c r="C841" s="1" t="n">
        <v>45788</v>
      </c>
      <c r="D841" t="inlineStr">
        <is>
          <t>VÄSTERBOTTENS LÄN</t>
        </is>
      </c>
      <c r="E841" t="inlineStr">
        <is>
          <t>VILHELMINA</t>
        </is>
      </c>
      <c r="G841" t="n">
        <v>8.1</v>
      </c>
      <c r="H841" t="n">
        <v>1</v>
      </c>
      <c r="I841" t="n">
        <v>0</v>
      </c>
      <c r="J841" t="n">
        <v>3</v>
      </c>
      <c r="K841" t="n">
        <v>0</v>
      </c>
      <c r="L841" t="n">
        <v>0</v>
      </c>
      <c r="M841" t="n">
        <v>0</v>
      </c>
      <c r="N841" t="n">
        <v>0</v>
      </c>
      <c r="O841" t="n">
        <v>3</v>
      </c>
      <c r="P841" t="n">
        <v>0</v>
      </c>
      <c r="Q841" t="n">
        <v>3</v>
      </c>
      <c r="R841" s="2" t="inlineStr">
        <is>
          <t>Granticka
Gränsticka
Tretåig hackspett</t>
        </is>
      </c>
      <c r="S841">
        <f>HYPERLINK("https://klasma.github.io/Logging_242462/artfynd/A 16463-2025 artfynd.xlsx", "A 16463-2025")</f>
        <v/>
      </c>
      <c r="T841">
        <f>HYPERLINK("https://klasma.github.io/Logging_242462/kartor/A 16463-2025 karta.png", "A 16463-2025")</f>
        <v/>
      </c>
      <c r="V841">
        <f>HYPERLINK("https://klasma.github.io/Logging_242462/klagomål/A 16463-2025 FSC-klagomål.docx", "A 16463-2025")</f>
        <v/>
      </c>
      <c r="W841">
        <f>HYPERLINK("https://klasma.github.io/Logging_242462/klagomålsmail/A 16463-2025 FSC-klagomål mail.docx", "A 16463-2025")</f>
        <v/>
      </c>
      <c r="X841">
        <f>HYPERLINK("https://klasma.github.io/Logging_242462/tillsyn/A 16463-2025 tillsynsbegäran.docx", "A 16463-2025")</f>
        <v/>
      </c>
      <c r="Y841">
        <f>HYPERLINK("https://klasma.github.io/Logging_242462/tillsynsmail/A 16463-2025 tillsynsbegäran mail.docx", "A 16463-2025")</f>
        <v/>
      </c>
      <c r="Z841">
        <f>HYPERLINK("https://klasma.github.io/Logging_242462/fåglar/A 16463-2025 prioriterade fågelarter.docx", "A 16463-2025")</f>
        <v/>
      </c>
    </row>
    <row r="842" ht="15" customHeight="1">
      <c r="A842" t="inlineStr">
        <is>
          <t>A 20379-2025</t>
        </is>
      </c>
      <c r="B842" s="1" t="n">
        <v>45775</v>
      </c>
      <c r="C842" s="1" t="n">
        <v>45788</v>
      </c>
      <c r="D842" t="inlineStr">
        <is>
          <t>VÄSTERBOTTENS LÄN</t>
        </is>
      </c>
      <c r="E842" t="inlineStr">
        <is>
          <t>SKELLEFTEÅ</t>
        </is>
      </c>
      <c r="G842" t="n">
        <v>3.3</v>
      </c>
      <c r="H842" t="n">
        <v>0</v>
      </c>
      <c r="I842" t="n">
        <v>0</v>
      </c>
      <c r="J842" t="n">
        <v>3</v>
      </c>
      <c r="K842" t="n">
        <v>0</v>
      </c>
      <c r="L842" t="n">
        <v>0</v>
      </c>
      <c r="M842" t="n">
        <v>0</v>
      </c>
      <c r="N842" t="n">
        <v>0</v>
      </c>
      <c r="O842" t="n">
        <v>3</v>
      </c>
      <c r="P842" t="n">
        <v>0</v>
      </c>
      <c r="Q842" t="n">
        <v>3</v>
      </c>
      <c r="R842" s="2" t="inlineStr">
        <is>
          <t>Granticka
Orange taggsvamp
Violettgrå tagellav</t>
        </is>
      </c>
      <c r="S842">
        <f>HYPERLINK("https://klasma.github.io/Logging_242482/artfynd/A 20379-2025 artfynd.xlsx", "A 20379-2025")</f>
        <v/>
      </c>
      <c r="T842">
        <f>HYPERLINK("https://klasma.github.io/Logging_242482/kartor/A 20379-2025 karta.png", "A 20379-2025")</f>
        <v/>
      </c>
      <c r="V842">
        <f>HYPERLINK("https://klasma.github.io/Logging_242482/klagomål/A 20379-2025 FSC-klagomål.docx", "A 20379-2025")</f>
        <v/>
      </c>
      <c r="W842">
        <f>HYPERLINK("https://klasma.github.io/Logging_242482/klagomålsmail/A 20379-2025 FSC-klagomål mail.docx", "A 20379-2025")</f>
        <v/>
      </c>
      <c r="X842">
        <f>HYPERLINK("https://klasma.github.io/Logging_242482/tillsyn/A 20379-2025 tillsynsbegäran.docx", "A 20379-2025")</f>
        <v/>
      </c>
      <c r="Y842">
        <f>HYPERLINK("https://klasma.github.io/Logging_242482/tillsynsmail/A 20379-2025 tillsynsbegäran mail.docx", "A 20379-2025")</f>
        <v/>
      </c>
    </row>
    <row r="843" ht="15" customHeight="1">
      <c r="A843" t="inlineStr">
        <is>
          <t>A 20752-2025</t>
        </is>
      </c>
      <c r="B843" s="1" t="n">
        <v>45776</v>
      </c>
      <c r="C843" s="1" t="n">
        <v>45788</v>
      </c>
      <c r="D843" t="inlineStr">
        <is>
          <t>VÄSTERBOTTENS LÄN</t>
        </is>
      </c>
      <c r="E843" t="inlineStr">
        <is>
          <t>ROBERTSFORS</t>
        </is>
      </c>
      <c r="F843" t="inlineStr">
        <is>
          <t>Holmen skog AB</t>
        </is>
      </c>
      <c r="G843" t="n">
        <v>2.9</v>
      </c>
      <c r="H843" t="n">
        <v>1</v>
      </c>
      <c r="I843" t="n">
        <v>1</v>
      </c>
      <c r="J843" t="n">
        <v>2</v>
      </c>
      <c r="K843" t="n">
        <v>0</v>
      </c>
      <c r="L843" t="n">
        <v>0</v>
      </c>
      <c r="M843" t="n">
        <v>0</v>
      </c>
      <c r="N843" t="n">
        <v>0</v>
      </c>
      <c r="O843" t="n">
        <v>2</v>
      </c>
      <c r="P843" t="n">
        <v>0</v>
      </c>
      <c r="Q843" t="n">
        <v>3</v>
      </c>
      <c r="R843" s="2" t="inlineStr">
        <is>
          <t>Garnlav
Spillkråka
Vedticka</t>
        </is>
      </c>
      <c r="S843">
        <f>HYPERLINK("https://klasma.github.io/Logging_242409/artfynd/A 20752-2025 artfynd.xlsx", "A 20752-2025")</f>
        <v/>
      </c>
      <c r="T843">
        <f>HYPERLINK("https://klasma.github.io/Logging_242409/kartor/A 20752-2025 karta.png", "A 20752-2025")</f>
        <v/>
      </c>
      <c r="V843">
        <f>HYPERLINK("https://klasma.github.io/Logging_242409/klagomål/A 20752-2025 FSC-klagomål.docx", "A 20752-2025")</f>
        <v/>
      </c>
      <c r="W843">
        <f>HYPERLINK("https://klasma.github.io/Logging_242409/klagomålsmail/A 20752-2025 FSC-klagomål mail.docx", "A 20752-2025")</f>
        <v/>
      </c>
      <c r="X843">
        <f>HYPERLINK("https://klasma.github.io/Logging_242409/tillsyn/A 20752-2025 tillsynsbegäran.docx", "A 20752-2025")</f>
        <v/>
      </c>
      <c r="Y843">
        <f>HYPERLINK("https://klasma.github.io/Logging_242409/tillsynsmail/A 20752-2025 tillsynsbegäran mail.docx", "A 20752-2025")</f>
        <v/>
      </c>
      <c r="Z843">
        <f>HYPERLINK("https://klasma.github.io/Logging_242409/fåglar/A 20752-2025 prioriterade fågelarter.docx", "A 20752-2025")</f>
        <v/>
      </c>
    </row>
    <row r="844" ht="15" customHeight="1">
      <c r="A844" t="inlineStr">
        <is>
          <t>A 22368-2025</t>
        </is>
      </c>
      <c r="B844" s="1" t="n">
        <v>45786</v>
      </c>
      <c r="C844" s="1" t="n">
        <v>45788</v>
      </c>
      <c r="D844" t="inlineStr">
        <is>
          <t>VÄSTERBOTTENS LÄN</t>
        </is>
      </c>
      <c r="E844" t="inlineStr">
        <is>
          <t>LYCKSELE</t>
        </is>
      </c>
      <c r="F844" t="inlineStr">
        <is>
          <t>Sveaskog</t>
        </is>
      </c>
      <c r="G844" t="n">
        <v>2.9</v>
      </c>
      <c r="H844" t="n">
        <v>0</v>
      </c>
      <c r="I844" t="n">
        <v>0</v>
      </c>
      <c r="J844" t="n">
        <v>3</v>
      </c>
      <c r="K844" t="n">
        <v>0</v>
      </c>
      <c r="L844" t="n">
        <v>0</v>
      </c>
      <c r="M844" t="n">
        <v>0</v>
      </c>
      <c r="N844" t="n">
        <v>0</v>
      </c>
      <c r="O844" t="n">
        <v>3</v>
      </c>
      <c r="P844" t="n">
        <v>0</v>
      </c>
      <c r="Q844" t="n">
        <v>3</v>
      </c>
      <c r="R844" s="2" t="inlineStr">
        <is>
          <t>Blå taggsvamp
Kolflarnlav
Mörk kolflarnlav</t>
        </is>
      </c>
      <c r="S844">
        <f>HYPERLINK("https://klasma.github.io/Logging_242481/artfynd/A 22368-2025 artfynd.xlsx", "A 22368-2025")</f>
        <v/>
      </c>
      <c r="T844">
        <f>HYPERLINK("https://klasma.github.io/Logging_242481/kartor/A 22368-2025 karta.png", "A 22368-2025")</f>
        <v/>
      </c>
      <c r="V844">
        <f>HYPERLINK("https://klasma.github.io/Logging_242481/klagomål/A 22368-2025 FSC-klagomål.docx", "A 22368-2025")</f>
        <v/>
      </c>
      <c r="W844">
        <f>HYPERLINK("https://klasma.github.io/Logging_242481/klagomålsmail/A 22368-2025 FSC-klagomål mail.docx", "A 22368-2025")</f>
        <v/>
      </c>
      <c r="X844">
        <f>HYPERLINK("https://klasma.github.io/Logging_242481/tillsyn/A 22368-2025 tillsynsbegäran.docx", "A 22368-2025")</f>
        <v/>
      </c>
      <c r="Y844">
        <f>HYPERLINK("https://klasma.github.io/Logging_242481/tillsynsmail/A 22368-2025 tillsynsbegäran mail.docx", "A 22368-2025")</f>
        <v/>
      </c>
    </row>
    <row r="845" ht="15" customHeight="1">
      <c r="A845" t="inlineStr">
        <is>
          <t>A 17998-2019</t>
        </is>
      </c>
      <c r="B845" s="1" t="n">
        <v>43556</v>
      </c>
      <c r="C845" s="1" t="n">
        <v>45788</v>
      </c>
      <c r="D845" t="inlineStr">
        <is>
          <t>VÄSTERBOTTENS LÄN</t>
        </is>
      </c>
      <c r="E845" t="inlineStr">
        <is>
          <t>NORDMALING</t>
        </is>
      </c>
      <c r="G845" t="n">
        <v>6</v>
      </c>
      <c r="H845" t="n">
        <v>0</v>
      </c>
      <c r="I845" t="n">
        <v>0</v>
      </c>
      <c r="J845" t="n">
        <v>2</v>
      </c>
      <c r="K845" t="n">
        <v>0</v>
      </c>
      <c r="L845" t="n">
        <v>0</v>
      </c>
      <c r="M845" t="n">
        <v>0</v>
      </c>
      <c r="N845" t="n">
        <v>0</v>
      </c>
      <c r="O845" t="n">
        <v>2</v>
      </c>
      <c r="P845" t="n">
        <v>0</v>
      </c>
      <c r="Q845" t="n">
        <v>2</v>
      </c>
      <c r="R845" s="2" t="inlineStr">
        <is>
          <t>Granticka
Rosenticka</t>
        </is>
      </c>
      <c r="S845">
        <f>HYPERLINK("https://klasma.github.io/Logging_2401/artfynd/A 17998-2019 artfynd.xlsx", "A 17998-2019")</f>
        <v/>
      </c>
      <c r="T845">
        <f>HYPERLINK("https://klasma.github.io/Logging_2401/kartor/A 17998-2019 karta.png", "A 17998-2019")</f>
        <v/>
      </c>
      <c r="V845">
        <f>HYPERLINK("https://klasma.github.io/Logging_2401/klagomål/A 17998-2019 FSC-klagomål.docx", "A 17998-2019")</f>
        <v/>
      </c>
      <c r="W845">
        <f>HYPERLINK("https://klasma.github.io/Logging_2401/klagomålsmail/A 17998-2019 FSC-klagomål mail.docx", "A 17998-2019")</f>
        <v/>
      </c>
      <c r="X845">
        <f>HYPERLINK("https://klasma.github.io/Logging_2401/tillsyn/A 17998-2019 tillsynsbegäran.docx", "A 17998-2019")</f>
        <v/>
      </c>
      <c r="Y845">
        <f>HYPERLINK("https://klasma.github.io/Logging_2401/tillsynsmail/A 17998-2019 tillsynsbegäran mail.docx", "A 17998-2019")</f>
        <v/>
      </c>
    </row>
    <row r="846" ht="15" customHeight="1">
      <c r="A846" t="inlineStr">
        <is>
          <t>A 18882-2019</t>
        </is>
      </c>
      <c r="B846" s="1" t="n">
        <v>43563</v>
      </c>
      <c r="C846" s="1" t="n">
        <v>45788</v>
      </c>
      <c r="D846" t="inlineStr">
        <is>
          <t>VÄSTERBOTTENS LÄN</t>
        </is>
      </c>
      <c r="E846" t="inlineStr">
        <is>
          <t>SKELLEFTEÅ</t>
        </is>
      </c>
      <c r="F846" t="inlineStr">
        <is>
          <t>Kommuner</t>
        </is>
      </c>
      <c r="G846" t="n">
        <v>33.1</v>
      </c>
      <c r="H846" t="n">
        <v>2</v>
      </c>
      <c r="I846" t="n">
        <v>1</v>
      </c>
      <c r="J846" t="n">
        <v>0</v>
      </c>
      <c r="K846" t="n">
        <v>0</v>
      </c>
      <c r="L846" t="n">
        <v>0</v>
      </c>
      <c r="M846" t="n">
        <v>0</v>
      </c>
      <c r="N846" t="n">
        <v>0</v>
      </c>
      <c r="O846" t="n">
        <v>0</v>
      </c>
      <c r="P846" t="n">
        <v>0</v>
      </c>
      <c r="Q846" t="n">
        <v>2</v>
      </c>
      <c r="R846" s="2" t="inlineStr">
        <is>
          <t>Plattlummer
Revlummer</t>
        </is>
      </c>
      <c r="S846">
        <f>HYPERLINK("https://klasma.github.io/Logging_2482/artfynd/A 18882-2019 artfynd.xlsx", "A 18882-2019")</f>
        <v/>
      </c>
      <c r="T846">
        <f>HYPERLINK("https://klasma.github.io/Logging_2482/kartor/A 18882-2019 karta.png", "A 18882-2019")</f>
        <v/>
      </c>
      <c r="V846">
        <f>HYPERLINK("https://klasma.github.io/Logging_2482/klagomål/A 18882-2019 FSC-klagomål.docx", "A 18882-2019")</f>
        <v/>
      </c>
      <c r="W846">
        <f>HYPERLINK("https://klasma.github.io/Logging_2482/klagomålsmail/A 18882-2019 FSC-klagomål mail.docx", "A 18882-2019")</f>
        <v/>
      </c>
      <c r="X846">
        <f>HYPERLINK("https://klasma.github.io/Logging_2482/tillsyn/A 18882-2019 tillsynsbegäran.docx", "A 18882-2019")</f>
        <v/>
      </c>
      <c r="Y846">
        <f>HYPERLINK("https://klasma.github.io/Logging_2482/tillsynsmail/A 18882-2019 tillsynsbegäran mail.docx", "A 18882-2019")</f>
        <v/>
      </c>
    </row>
    <row r="847" ht="15" customHeight="1">
      <c r="A847" t="inlineStr">
        <is>
          <t>A 29514-2019</t>
        </is>
      </c>
      <c r="B847" s="1" t="n">
        <v>43627</v>
      </c>
      <c r="C847" s="1" t="n">
        <v>45788</v>
      </c>
      <c r="D847" t="inlineStr">
        <is>
          <t>VÄSTERBOTTENS LÄN</t>
        </is>
      </c>
      <c r="E847" t="inlineStr">
        <is>
          <t>SKELLEFTEÅ</t>
        </is>
      </c>
      <c r="G847" t="n">
        <v>9.5</v>
      </c>
      <c r="H847" t="n">
        <v>1</v>
      </c>
      <c r="I847" t="n">
        <v>1</v>
      </c>
      <c r="J847" t="n">
        <v>1</v>
      </c>
      <c r="K847" t="n">
        <v>0</v>
      </c>
      <c r="L847" t="n">
        <v>0</v>
      </c>
      <c r="M847" t="n">
        <v>0</v>
      </c>
      <c r="N847" t="n">
        <v>0</v>
      </c>
      <c r="O847" t="n">
        <v>1</v>
      </c>
      <c r="P847" t="n">
        <v>0</v>
      </c>
      <c r="Q847" t="n">
        <v>2</v>
      </c>
      <c r="R847" s="2" t="inlineStr">
        <is>
          <t>Ullticka
Lappranunkel</t>
        </is>
      </c>
      <c r="S847">
        <f>HYPERLINK("https://klasma.github.io/Logging_2482/artfynd/A 29514-2019 artfynd.xlsx", "A 29514-2019")</f>
        <v/>
      </c>
      <c r="T847">
        <f>HYPERLINK("https://klasma.github.io/Logging_2482/kartor/A 29514-2019 karta.png", "A 29514-2019")</f>
        <v/>
      </c>
      <c r="V847">
        <f>HYPERLINK("https://klasma.github.io/Logging_2482/klagomål/A 29514-2019 FSC-klagomål.docx", "A 29514-2019")</f>
        <v/>
      </c>
      <c r="W847">
        <f>HYPERLINK("https://klasma.github.io/Logging_2482/klagomålsmail/A 29514-2019 FSC-klagomål mail.docx", "A 29514-2019")</f>
        <v/>
      </c>
      <c r="X847">
        <f>HYPERLINK("https://klasma.github.io/Logging_2482/tillsyn/A 29514-2019 tillsynsbegäran.docx", "A 29514-2019")</f>
        <v/>
      </c>
      <c r="Y847">
        <f>HYPERLINK("https://klasma.github.io/Logging_2482/tillsynsmail/A 29514-2019 tillsynsbegäran mail.docx", "A 29514-2019")</f>
        <v/>
      </c>
    </row>
    <row r="848" ht="15" customHeight="1">
      <c r="A848" t="inlineStr">
        <is>
          <t>A 29824-2019</t>
        </is>
      </c>
      <c r="B848" s="1" t="n">
        <v>43629</v>
      </c>
      <c r="C848" s="1" t="n">
        <v>45788</v>
      </c>
      <c r="D848" t="inlineStr">
        <is>
          <t>VÄSTERBOTTENS LÄN</t>
        </is>
      </c>
      <c r="E848" t="inlineStr">
        <is>
          <t>NORDMALING</t>
        </is>
      </c>
      <c r="G848" t="n">
        <v>2.9</v>
      </c>
      <c r="H848" t="n">
        <v>0</v>
      </c>
      <c r="I848" t="n">
        <v>0</v>
      </c>
      <c r="J848" t="n">
        <v>1</v>
      </c>
      <c r="K848" t="n">
        <v>1</v>
      </c>
      <c r="L848" t="n">
        <v>0</v>
      </c>
      <c r="M848" t="n">
        <v>0</v>
      </c>
      <c r="N848" t="n">
        <v>0</v>
      </c>
      <c r="O848" t="n">
        <v>2</v>
      </c>
      <c r="P848" t="n">
        <v>1</v>
      </c>
      <c r="Q848" t="n">
        <v>2</v>
      </c>
      <c r="R848" s="2" t="inlineStr">
        <is>
          <t>Rynkskinn
Ullticka</t>
        </is>
      </c>
      <c r="S848">
        <f>HYPERLINK("https://klasma.github.io/Logging_2401/artfynd/A 29824-2019 artfynd.xlsx", "A 29824-2019")</f>
        <v/>
      </c>
      <c r="T848">
        <f>HYPERLINK("https://klasma.github.io/Logging_2401/kartor/A 29824-2019 karta.png", "A 29824-2019")</f>
        <v/>
      </c>
      <c r="V848">
        <f>HYPERLINK("https://klasma.github.io/Logging_2401/klagomål/A 29824-2019 FSC-klagomål.docx", "A 29824-2019")</f>
        <v/>
      </c>
      <c r="W848">
        <f>HYPERLINK("https://klasma.github.io/Logging_2401/klagomålsmail/A 29824-2019 FSC-klagomål mail.docx", "A 29824-2019")</f>
        <v/>
      </c>
      <c r="X848">
        <f>HYPERLINK("https://klasma.github.io/Logging_2401/tillsyn/A 29824-2019 tillsynsbegäran.docx", "A 29824-2019")</f>
        <v/>
      </c>
      <c r="Y848">
        <f>HYPERLINK("https://klasma.github.io/Logging_2401/tillsynsmail/A 29824-2019 tillsynsbegäran mail.docx", "A 29824-2019")</f>
        <v/>
      </c>
    </row>
    <row r="849" ht="15" customHeight="1">
      <c r="A849" t="inlineStr">
        <is>
          <t>A 34784-2019</t>
        </is>
      </c>
      <c r="B849" s="1" t="n">
        <v>43658</v>
      </c>
      <c r="C849" s="1" t="n">
        <v>45788</v>
      </c>
      <c r="D849" t="inlineStr">
        <is>
          <t>VÄSTERBOTTENS LÄN</t>
        </is>
      </c>
      <c r="E849" t="inlineStr">
        <is>
          <t>VILHELMINA</t>
        </is>
      </c>
      <c r="F849" t="inlineStr">
        <is>
          <t>Sveaskog</t>
        </is>
      </c>
      <c r="G849" t="n">
        <v>1.8</v>
      </c>
      <c r="H849" t="n">
        <v>0</v>
      </c>
      <c r="I849" t="n">
        <v>0</v>
      </c>
      <c r="J849" t="n">
        <v>2</v>
      </c>
      <c r="K849" t="n">
        <v>0</v>
      </c>
      <c r="L849" t="n">
        <v>0</v>
      </c>
      <c r="M849" t="n">
        <v>0</v>
      </c>
      <c r="N849" t="n">
        <v>0</v>
      </c>
      <c r="O849" t="n">
        <v>2</v>
      </c>
      <c r="P849" t="n">
        <v>0</v>
      </c>
      <c r="Q849" t="n">
        <v>2</v>
      </c>
      <c r="R849" s="2" t="inlineStr">
        <is>
          <t>Granticka
Tallticka</t>
        </is>
      </c>
      <c r="S849">
        <f>HYPERLINK("https://klasma.github.io/Logging_2462/artfynd/A 34784-2019 artfynd.xlsx", "A 34784-2019")</f>
        <v/>
      </c>
      <c r="T849">
        <f>HYPERLINK("https://klasma.github.io/Logging_2462/kartor/A 34784-2019 karta.png", "A 34784-2019")</f>
        <v/>
      </c>
      <c r="V849">
        <f>HYPERLINK("https://klasma.github.io/Logging_2462/klagomål/A 34784-2019 FSC-klagomål.docx", "A 34784-2019")</f>
        <v/>
      </c>
      <c r="W849">
        <f>HYPERLINK("https://klasma.github.io/Logging_2462/klagomålsmail/A 34784-2019 FSC-klagomål mail.docx", "A 34784-2019")</f>
        <v/>
      </c>
      <c r="X849">
        <f>HYPERLINK("https://klasma.github.io/Logging_2462/tillsyn/A 34784-2019 tillsynsbegäran.docx", "A 34784-2019")</f>
        <v/>
      </c>
      <c r="Y849">
        <f>HYPERLINK("https://klasma.github.io/Logging_2462/tillsynsmail/A 34784-2019 tillsynsbegäran mail.docx", "A 34784-2019")</f>
        <v/>
      </c>
    </row>
    <row r="850" ht="15" customHeight="1">
      <c r="A850" t="inlineStr">
        <is>
          <t>A 35097-2019</t>
        </is>
      </c>
      <c r="B850" s="1" t="n">
        <v>43661</v>
      </c>
      <c r="C850" s="1" t="n">
        <v>45788</v>
      </c>
      <c r="D850" t="inlineStr">
        <is>
          <t>VÄSTERBOTTENS LÄN</t>
        </is>
      </c>
      <c r="E850" t="inlineStr">
        <is>
          <t>SKELLEFTEÅ</t>
        </is>
      </c>
      <c r="F850" t="inlineStr">
        <is>
          <t>Sveaskog</t>
        </is>
      </c>
      <c r="G850" t="n">
        <v>19.2</v>
      </c>
      <c r="H850" t="n">
        <v>0</v>
      </c>
      <c r="I850" t="n">
        <v>1</v>
      </c>
      <c r="J850" t="n">
        <v>1</v>
      </c>
      <c r="K850" t="n">
        <v>0</v>
      </c>
      <c r="L850" t="n">
        <v>0</v>
      </c>
      <c r="M850" t="n">
        <v>0</v>
      </c>
      <c r="N850" t="n">
        <v>0</v>
      </c>
      <c r="O850" t="n">
        <v>1</v>
      </c>
      <c r="P850" t="n">
        <v>0</v>
      </c>
      <c r="Q850" t="n">
        <v>2</v>
      </c>
      <c r="R850" s="2" t="inlineStr">
        <is>
          <t>Grönhjon
Bronshjon</t>
        </is>
      </c>
      <c r="S850">
        <f>HYPERLINK("https://klasma.github.io/Logging_2482/artfynd/A 35097-2019 artfynd.xlsx", "A 35097-2019")</f>
        <v/>
      </c>
      <c r="T850">
        <f>HYPERLINK("https://klasma.github.io/Logging_2482/kartor/A 35097-2019 karta.png", "A 35097-2019")</f>
        <v/>
      </c>
      <c r="V850">
        <f>HYPERLINK("https://klasma.github.io/Logging_2482/klagomål/A 35097-2019 FSC-klagomål.docx", "A 35097-2019")</f>
        <v/>
      </c>
      <c r="W850">
        <f>HYPERLINK("https://klasma.github.io/Logging_2482/klagomålsmail/A 35097-2019 FSC-klagomål mail.docx", "A 35097-2019")</f>
        <v/>
      </c>
      <c r="X850">
        <f>HYPERLINK("https://klasma.github.io/Logging_2482/tillsyn/A 35097-2019 tillsynsbegäran.docx", "A 35097-2019")</f>
        <v/>
      </c>
      <c r="Y850">
        <f>HYPERLINK("https://klasma.github.io/Logging_2482/tillsynsmail/A 35097-2019 tillsynsbegäran mail.docx", "A 35097-2019")</f>
        <v/>
      </c>
    </row>
    <row r="851" ht="15" customHeight="1">
      <c r="A851" t="inlineStr">
        <is>
          <t>A 42000-2019</t>
        </is>
      </c>
      <c r="B851" s="1" t="n">
        <v>43700</v>
      </c>
      <c r="C851" s="1" t="n">
        <v>45788</v>
      </c>
      <c r="D851" t="inlineStr">
        <is>
          <t>VÄSTERBOTTENS LÄN</t>
        </is>
      </c>
      <c r="E851" t="inlineStr">
        <is>
          <t>STORUMAN</t>
        </is>
      </c>
      <c r="F851" t="inlineStr">
        <is>
          <t>Holmen skog AB</t>
        </is>
      </c>
      <c r="G851" t="n">
        <v>18.4</v>
      </c>
      <c r="H851" t="n">
        <v>0</v>
      </c>
      <c r="I851" t="n">
        <v>0</v>
      </c>
      <c r="J851" t="n">
        <v>0</v>
      </c>
      <c r="K851" t="n">
        <v>2</v>
      </c>
      <c r="L851" t="n">
        <v>0</v>
      </c>
      <c r="M851" t="n">
        <v>0</v>
      </c>
      <c r="N851" t="n">
        <v>0</v>
      </c>
      <c r="O851" t="n">
        <v>2</v>
      </c>
      <c r="P851" t="n">
        <v>2</v>
      </c>
      <c r="Q851" t="n">
        <v>2</v>
      </c>
      <c r="R851" s="2" t="inlineStr">
        <is>
          <t>Liten sotlav
Ostticka</t>
        </is>
      </c>
      <c r="S851">
        <f>HYPERLINK("https://klasma.github.io/Logging_2421/artfynd/A 42000-2019 artfynd.xlsx", "A 42000-2019")</f>
        <v/>
      </c>
      <c r="T851">
        <f>HYPERLINK("https://klasma.github.io/Logging_2421/kartor/A 42000-2019 karta.png", "A 42000-2019")</f>
        <v/>
      </c>
      <c r="V851">
        <f>HYPERLINK("https://klasma.github.io/Logging_2421/klagomål/A 42000-2019 FSC-klagomål.docx", "A 42000-2019")</f>
        <v/>
      </c>
      <c r="W851">
        <f>HYPERLINK("https://klasma.github.io/Logging_2421/klagomålsmail/A 42000-2019 FSC-klagomål mail.docx", "A 42000-2019")</f>
        <v/>
      </c>
      <c r="X851">
        <f>HYPERLINK("https://klasma.github.io/Logging_2421/tillsyn/A 42000-2019 tillsynsbegäran.docx", "A 42000-2019")</f>
        <v/>
      </c>
      <c r="Y851">
        <f>HYPERLINK("https://klasma.github.io/Logging_2421/tillsynsmail/A 42000-2019 tillsynsbegäran mail.docx", "A 42000-2019")</f>
        <v/>
      </c>
    </row>
    <row r="852" ht="15" customHeight="1">
      <c r="A852" t="inlineStr">
        <is>
          <t>A 46354-2019</t>
        </is>
      </c>
      <c r="B852" s="1" t="n">
        <v>43718</v>
      </c>
      <c r="C852" s="1" t="n">
        <v>45788</v>
      </c>
      <c r="D852" t="inlineStr">
        <is>
          <t>VÄSTERBOTTENS LÄN</t>
        </is>
      </c>
      <c r="E852" t="inlineStr">
        <is>
          <t>SKELLEFTEÅ</t>
        </is>
      </c>
      <c r="F852" t="inlineStr">
        <is>
          <t>SCA</t>
        </is>
      </c>
      <c r="G852" t="n">
        <v>5.5</v>
      </c>
      <c r="H852" t="n">
        <v>2</v>
      </c>
      <c r="I852" t="n">
        <v>0</v>
      </c>
      <c r="J852" t="n">
        <v>0</v>
      </c>
      <c r="K852" t="n">
        <v>0</v>
      </c>
      <c r="L852" t="n">
        <v>0</v>
      </c>
      <c r="M852" t="n">
        <v>0</v>
      </c>
      <c r="N852" t="n">
        <v>0</v>
      </c>
      <c r="O852" t="n">
        <v>0</v>
      </c>
      <c r="P852" t="n">
        <v>0</v>
      </c>
      <c r="Q852" t="n">
        <v>2</v>
      </c>
      <c r="R852" s="2" t="inlineStr">
        <is>
          <t>Vanlig groda
Revlummer</t>
        </is>
      </c>
      <c r="S852">
        <f>HYPERLINK("https://klasma.github.io/Logging_2482/artfynd/A 46354-2019 artfynd.xlsx", "A 46354-2019")</f>
        <v/>
      </c>
      <c r="T852">
        <f>HYPERLINK("https://klasma.github.io/Logging_2482/kartor/A 46354-2019 karta.png", "A 46354-2019")</f>
        <v/>
      </c>
      <c r="V852">
        <f>HYPERLINK("https://klasma.github.io/Logging_2482/klagomål/A 46354-2019 FSC-klagomål.docx", "A 46354-2019")</f>
        <v/>
      </c>
      <c r="W852">
        <f>HYPERLINK("https://klasma.github.io/Logging_2482/klagomålsmail/A 46354-2019 FSC-klagomål mail.docx", "A 46354-2019")</f>
        <v/>
      </c>
      <c r="X852">
        <f>HYPERLINK("https://klasma.github.io/Logging_2482/tillsyn/A 46354-2019 tillsynsbegäran.docx", "A 46354-2019")</f>
        <v/>
      </c>
      <c r="Y852">
        <f>HYPERLINK("https://klasma.github.io/Logging_2482/tillsynsmail/A 46354-2019 tillsynsbegäran mail.docx", "A 46354-2019")</f>
        <v/>
      </c>
    </row>
    <row r="853" ht="15" customHeight="1">
      <c r="A853" t="inlineStr">
        <is>
          <t>A 50020-2019</t>
        </is>
      </c>
      <c r="B853" s="1" t="n">
        <v>43731</v>
      </c>
      <c r="C853" s="1" t="n">
        <v>45788</v>
      </c>
      <c r="D853" t="inlineStr">
        <is>
          <t>VÄSTERBOTTENS LÄN</t>
        </is>
      </c>
      <c r="E853" t="inlineStr">
        <is>
          <t>VILHELMINA</t>
        </is>
      </c>
      <c r="F853" t="inlineStr">
        <is>
          <t>Allmännings- och besparingsskogar</t>
        </is>
      </c>
      <c r="G853" t="n">
        <v>4</v>
      </c>
      <c r="H853" t="n">
        <v>0</v>
      </c>
      <c r="I853" t="n">
        <v>0</v>
      </c>
      <c r="J853" t="n">
        <v>2</v>
      </c>
      <c r="K853" t="n">
        <v>0</v>
      </c>
      <c r="L853" t="n">
        <v>0</v>
      </c>
      <c r="M853" t="n">
        <v>0</v>
      </c>
      <c r="N853" t="n">
        <v>0</v>
      </c>
      <c r="O853" t="n">
        <v>2</v>
      </c>
      <c r="P853" t="n">
        <v>0</v>
      </c>
      <c r="Q853" t="n">
        <v>2</v>
      </c>
      <c r="R853" s="2" t="inlineStr">
        <is>
          <t>Harticka
Rödbrun blekspik</t>
        </is>
      </c>
      <c r="S853">
        <f>HYPERLINK("https://klasma.github.io/Logging_2462/artfynd/A 50020-2019 artfynd.xlsx", "A 50020-2019")</f>
        <v/>
      </c>
      <c r="T853">
        <f>HYPERLINK("https://klasma.github.io/Logging_2462/kartor/A 50020-2019 karta.png", "A 50020-2019")</f>
        <v/>
      </c>
      <c r="V853">
        <f>HYPERLINK("https://klasma.github.io/Logging_2462/klagomål/A 50020-2019 FSC-klagomål.docx", "A 50020-2019")</f>
        <v/>
      </c>
      <c r="W853">
        <f>HYPERLINK("https://klasma.github.io/Logging_2462/klagomålsmail/A 50020-2019 FSC-klagomål mail.docx", "A 50020-2019")</f>
        <v/>
      </c>
      <c r="X853">
        <f>HYPERLINK("https://klasma.github.io/Logging_2462/tillsyn/A 50020-2019 tillsynsbegäran.docx", "A 50020-2019")</f>
        <v/>
      </c>
      <c r="Y853">
        <f>HYPERLINK("https://klasma.github.io/Logging_2462/tillsynsmail/A 50020-2019 tillsynsbegäran mail.docx", "A 50020-2019")</f>
        <v/>
      </c>
    </row>
    <row r="854" ht="15" customHeight="1">
      <c r="A854" t="inlineStr">
        <is>
          <t>A 51539-2019</t>
        </is>
      </c>
      <c r="B854" s="1" t="n">
        <v>43740</v>
      </c>
      <c r="C854" s="1" t="n">
        <v>45788</v>
      </c>
      <c r="D854" t="inlineStr">
        <is>
          <t>VÄSTERBOTTENS LÄN</t>
        </is>
      </c>
      <c r="E854" t="inlineStr">
        <is>
          <t>ROBERTSFORS</t>
        </is>
      </c>
      <c r="G854" t="n">
        <v>5</v>
      </c>
      <c r="H854" t="n">
        <v>0</v>
      </c>
      <c r="I854" t="n">
        <v>0</v>
      </c>
      <c r="J854" t="n">
        <v>2</v>
      </c>
      <c r="K854" t="n">
        <v>0</v>
      </c>
      <c r="L854" t="n">
        <v>0</v>
      </c>
      <c r="M854" t="n">
        <v>0</v>
      </c>
      <c r="N854" t="n">
        <v>0</v>
      </c>
      <c r="O854" t="n">
        <v>2</v>
      </c>
      <c r="P854" t="n">
        <v>0</v>
      </c>
      <c r="Q854" t="n">
        <v>2</v>
      </c>
      <c r="R854" s="2" t="inlineStr">
        <is>
          <t>Granticka
Stjärntagging</t>
        </is>
      </c>
      <c r="S854">
        <f>HYPERLINK("https://klasma.github.io/Logging_2409/artfynd/A 51539-2019 artfynd.xlsx", "A 51539-2019")</f>
        <v/>
      </c>
      <c r="T854">
        <f>HYPERLINK("https://klasma.github.io/Logging_2409/kartor/A 51539-2019 karta.png", "A 51539-2019")</f>
        <v/>
      </c>
      <c r="V854">
        <f>HYPERLINK("https://klasma.github.io/Logging_2409/klagomål/A 51539-2019 FSC-klagomål.docx", "A 51539-2019")</f>
        <v/>
      </c>
      <c r="W854">
        <f>HYPERLINK("https://klasma.github.io/Logging_2409/klagomålsmail/A 51539-2019 FSC-klagomål mail.docx", "A 51539-2019")</f>
        <v/>
      </c>
      <c r="X854">
        <f>HYPERLINK("https://klasma.github.io/Logging_2409/tillsyn/A 51539-2019 tillsynsbegäran.docx", "A 51539-2019")</f>
        <v/>
      </c>
      <c r="Y854">
        <f>HYPERLINK("https://klasma.github.io/Logging_2409/tillsynsmail/A 51539-2019 tillsynsbegäran mail.docx", "A 51539-2019")</f>
        <v/>
      </c>
    </row>
    <row r="855" ht="15" customHeight="1">
      <c r="A855" t="inlineStr">
        <is>
          <t>A 53694-2019</t>
        </is>
      </c>
      <c r="B855" s="1" t="n">
        <v>43749</v>
      </c>
      <c r="C855" s="1" t="n">
        <v>45788</v>
      </c>
      <c r="D855" t="inlineStr">
        <is>
          <t>VÄSTERBOTTENS LÄN</t>
        </is>
      </c>
      <c r="E855" t="inlineStr">
        <is>
          <t>NORSJÖ</t>
        </is>
      </c>
      <c r="F855" t="inlineStr">
        <is>
          <t>Holmen skog AB</t>
        </is>
      </c>
      <c r="G855" t="n">
        <v>1.8</v>
      </c>
      <c r="H855" t="n">
        <v>0</v>
      </c>
      <c r="I855" t="n">
        <v>0</v>
      </c>
      <c r="J855" t="n">
        <v>2</v>
      </c>
      <c r="K855" t="n">
        <v>0</v>
      </c>
      <c r="L855" t="n">
        <v>0</v>
      </c>
      <c r="M855" t="n">
        <v>0</v>
      </c>
      <c r="N855" t="n">
        <v>0</v>
      </c>
      <c r="O855" t="n">
        <v>2</v>
      </c>
      <c r="P855" t="n">
        <v>0</v>
      </c>
      <c r="Q855" t="n">
        <v>2</v>
      </c>
      <c r="R855" s="2" t="inlineStr">
        <is>
          <t>Granticka
Harticka</t>
        </is>
      </c>
      <c r="S855">
        <f>HYPERLINK("https://klasma.github.io/Logging_2417/artfynd/A 53694-2019 artfynd.xlsx", "A 53694-2019")</f>
        <v/>
      </c>
      <c r="T855">
        <f>HYPERLINK("https://klasma.github.io/Logging_2417/kartor/A 53694-2019 karta.png", "A 53694-2019")</f>
        <v/>
      </c>
      <c r="V855">
        <f>HYPERLINK("https://klasma.github.io/Logging_2417/klagomål/A 53694-2019 FSC-klagomål.docx", "A 53694-2019")</f>
        <v/>
      </c>
      <c r="W855">
        <f>HYPERLINK("https://klasma.github.io/Logging_2417/klagomålsmail/A 53694-2019 FSC-klagomål mail.docx", "A 53694-2019")</f>
        <v/>
      </c>
      <c r="X855">
        <f>HYPERLINK("https://klasma.github.io/Logging_2417/tillsyn/A 53694-2019 tillsynsbegäran.docx", "A 53694-2019")</f>
        <v/>
      </c>
      <c r="Y855">
        <f>HYPERLINK("https://klasma.github.io/Logging_2417/tillsynsmail/A 53694-2019 tillsynsbegäran mail.docx", "A 53694-2019")</f>
        <v/>
      </c>
    </row>
    <row r="856" ht="15" customHeight="1">
      <c r="A856" t="inlineStr">
        <is>
          <t>A 58398-2019</t>
        </is>
      </c>
      <c r="B856" s="1" t="n">
        <v>43772</v>
      </c>
      <c r="C856" s="1" t="n">
        <v>45788</v>
      </c>
      <c r="D856" t="inlineStr">
        <is>
          <t>VÄSTERBOTTENS LÄN</t>
        </is>
      </c>
      <c r="E856" t="inlineStr">
        <is>
          <t>BJURHOLM</t>
        </is>
      </c>
      <c r="G856" t="n">
        <v>13.8</v>
      </c>
      <c r="H856" t="n">
        <v>0</v>
      </c>
      <c r="I856" t="n">
        <v>0</v>
      </c>
      <c r="J856" t="n">
        <v>2</v>
      </c>
      <c r="K856" t="n">
        <v>0</v>
      </c>
      <c r="L856" t="n">
        <v>0</v>
      </c>
      <c r="M856" t="n">
        <v>0</v>
      </c>
      <c r="N856" t="n">
        <v>0</v>
      </c>
      <c r="O856" t="n">
        <v>2</v>
      </c>
      <c r="P856" t="n">
        <v>0</v>
      </c>
      <c r="Q856" t="n">
        <v>2</v>
      </c>
      <c r="R856" s="2" t="inlineStr">
        <is>
          <t>Granticka
Tallticka</t>
        </is>
      </c>
      <c r="S856">
        <f>HYPERLINK("https://klasma.github.io/Logging_2403/artfynd/A 58398-2019 artfynd.xlsx", "A 58398-2019")</f>
        <v/>
      </c>
      <c r="T856">
        <f>HYPERLINK("https://klasma.github.io/Logging_2403/kartor/A 58398-2019 karta.png", "A 58398-2019")</f>
        <v/>
      </c>
      <c r="V856">
        <f>HYPERLINK("https://klasma.github.io/Logging_2403/klagomål/A 58398-2019 FSC-klagomål.docx", "A 58398-2019")</f>
        <v/>
      </c>
      <c r="W856">
        <f>HYPERLINK("https://klasma.github.io/Logging_2403/klagomålsmail/A 58398-2019 FSC-klagomål mail.docx", "A 58398-2019")</f>
        <v/>
      </c>
      <c r="X856">
        <f>HYPERLINK("https://klasma.github.io/Logging_2403/tillsyn/A 58398-2019 tillsynsbegäran.docx", "A 58398-2019")</f>
        <v/>
      </c>
      <c r="Y856">
        <f>HYPERLINK("https://klasma.github.io/Logging_2403/tillsynsmail/A 58398-2019 tillsynsbegäran mail.docx", "A 58398-2019")</f>
        <v/>
      </c>
    </row>
    <row r="857" ht="15" customHeight="1">
      <c r="A857" t="inlineStr">
        <is>
          <t>A 63400-2019</t>
        </is>
      </c>
      <c r="B857" s="1" t="n">
        <v>43787</v>
      </c>
      <c r="C857" s="1" t="n">
        <v>45788</v>
      </c>
      <c r="D857" t="inlineStr">
        <is>
          <t>VÄSTERBOTTENS LÄN</t>
        </is>
      </c>
      <c r="E857" t="inlineStr">
        <is>
          <t>ROBERTSFORS</t>
        </is>
      </c>
      <c r="F857" t="inlineStr">
        <is>
          <t>SCA</t>
        </is>
      </c>
      <c r="G857" t="n">
        <v>2.1</v>
      </c>
      <c r="H857" t="n">
        <v>0</v>
      </c>
      <c r="I857" t="n">
        <v>0</v>
      </c>
      <c r="J857" t="n">
        <v>2</v>
      </c>
      <c r="K857" t="n">
        <v>0</v>
      </c>
      <c r="L857" t="n">
        <v>0</v>
      </c>
      <c r="M857" t="n">
        <v>0</v>
      </c>
      <c r="N857" t="n">
        <v>0</v>
      </c>
      <c r="O857" t="n">
        <v>2</v>
      </c>
      <c r="P857" t="n">
        <v>0</v>
      </c>
      <c r="Q857" t="n">
        <v>2</v>
      </c>
      <c r="R857" s="2" t="inlineStr">
        <is>
          <t>Nordtagging
Vaddporing</t>
        </is>
      </c>
      <c r="S857">
        <f>HYPERLINK("https://klasma.github.io/Logging_2409/artfynd/A 63400-2019 artfynd.xlsx", "A 63400-2019")</f>
        <v/>
      </c>
      <c r="T857">
        <f>HYPERLINK("https://klasma.github.io/Logging_2409/kartor/A 63400-2019 karta.png", "A 63400-2019")</f>
        <v/>
      </c>
      <c r="V857">
        <f>HYPERLINK("https://klasma.github.io/Logging_2409/klagomål/A 63400-2019 FSC-klagomål.docx", "A 63400-2019")</f>
        <v/>
      </c>
      <c r="W857">
        <f>HYPERLINK("https://klasma.github.io/Logging_2409/klagomålsmail/A 63400-2019 FSC-klagomål mail.docx", "A 63400-2019")</f>
        <v/>
      </c>
      <c r="X857">
        <f>HYPERLINK("https://klasma.github.io/Logging_2409/tillsyn/A 63400-2019 tillsynsbegäran.docx", "A 63400-2019")</f>
        <v/>
      </c>
      <c r="Y857">
        <f>HYPERLINK("https://klasma.github.io/Logging_2409/tillsynsmail/A 63400-2019 tillsynsbegäran mail.docx", "A 63400-2019")</f>
        <v/>
      </c>
    </row>
    <row r="858" ht="15" customHeight="1">
      <c r="A858" t="inlineStr">
        <is>
          <t>A 64461-2019</t>
        </is>
      </c>
      <c r="B858" s="1" t="n">
        <v>43797</v>
      </c>
      <c r="C858" s="1" t="n">
        <v>45788</v>
      </c>
      <c r="D858" t="inlineStr">
        <is>
          <t>VÄSTERBOTTENS LÄN</t>
        </is>
      </c>
      <c r="E858" t="inlineStr">
        <is>
          <t>VINDELN</t>
        </is>
      </c>
      <c r="F858" t="inlineStr">
        <is>
          <t>SCA</t>
        </is>
      </c>
      <c r="G858" t="n">
        <v>4.4</v>
      </c>
      <c r="H858" t="n">
        <v>1</v>
      </c>
      <c r="I858" t="n">
        <v>0</v>
      </c>
      <c r="J858" t="n">
        <v>2</v>
      </c>
      <c r="K858" t="n">
        <v>0</v>
      </c>
      <c r="L858" t="n">
        <v>0</v>
      </c>
      <c r="M858" t="n">
        <v>0</v>
      </c>
      <c r="N858" t="n">
        <v>0</v>
      </c>
      <c r="O858" t="n">
        <v>2</v>
      </c>
      <c r="P858" t="n">
        <v>0</v>
      </c>
      <c r="Q858" t="n">
        <v>2</v>
      </c>
      <c r="R858" s="2" t="inlineStr">
        <is>
          <t>Garnlav
Talltita</t>
        </is>
      </c>
      <c r="S858">
        <f>HYPERLINK("https://klasma.github.io/Logging_2404/artfynd/A 64461-2019 artfynd.xlsx", "A 64461-2019")</f>
        <v/>
      </c>
      <c r="T858">
        <f>HYPERLINK("https://klasma.github.io/Logging_2404/kartor/A 64461-2019 karta.png", "A 64461-2019")</f>
        <v/>
      </c>
      <c r="V858">
        <f>HYPERLINK("https://klasma.github.io/Logging_2404/klagomål/A 64461-2019 FSC-klagomål.docx", "A 64461-2019")</f>
        <v/>
      </c>
      <c r="W858">
        <f>HYPERLINK("https://klasma.github.io/Logging_2404/klagomålsmail/A 64461-2019 FSC-klagomål mail.docx", "A 64461-2019")</f>
        <v/>
      </c>
      <c r="X858">
        <f>HYPERLINK("https://klasma.github.io/Logging_2404/tillsyn/A 64461-2019 tillsynsbegäran.docx", "A 64461-2019")</f>
        <v/>
      </c>
      <c r="Y858">
        <f>HYPERLINK("https://klasma.github.io/Logging_2404/tillsynsmail/A 64461-2019 tillsynsbegäran mail.docx", "A 64461-2019")</f>
        <v/>
      </c>
      <c r="Z858">
        <f>HYPERLINK("https://klasma.github.io/Logging_2404/fåglar/A 64461-2019 prioriterade fågelarter.docx", "A 64461-2019")</f>
        <v/>
      </c>
    </row>
    <row r="859" ht="15" customHeight="1">
      <c r="A859" t="inlineStr">
        <is>
          <t>A 66455-2019</t>
        </is>
      </c>
      <c r="B859" s="1" t="n">
        <v>43802</v>
      </c>
      <c r="C859" s="1" t="n">
        <v>45788</v>
      </c>
      <c r="D859" t="inlineStr">
        <is>
          <t>VÄSTERBOTTENS LÄN</t>
        </is>
      </c>
      <c r="E859" t="inlineStr">
        <is>
          <t>UMEÅ</t>
        </is>
      </c>
      <c r="G859" t="n">
        <v>0.9</v>
      </c>
      <c r="H859" t="n">
        <v>1</v>
      </c>
      <c r="I859" t="n">
        <v>0</v>
      </c>
      <c r="J859" t="n">
        <v>2</v>
      </c>
      <c r="K859" t="n">
        <v>0</v>
      </c>
      <c r="L859" t="n">
        <v>0</v>
      </c>
      <c r="M859" t="n">
        <v>0</v>
      </c>
      <c r="N859" t="n">
        <v>0</v>
      </c>
      <c r="O859" t="n">
        <v>2</v>
      </c>
      <c r="P859" t="n">
        <v>0</v>
      </c>
      <c r="Q859" t="n">
        <v>2</v>
      </c>
      <c r="R859" s="2" t="inlineStr">
        <is>
          <t>Garnlav
Spillkråka</t>
        </is>
      </c>
      <c r="S859">
        <f>HYPERLINK("https://klasma.github.io/Logging_2480/artfynd/A 66455-2019 artfynd.xlsx", "A 66455-2019")</f>
        <v/>
      </c>
      <c r="T859">
        <f>HYPERLINK("https://klasma.github.io/Logging_2480/kartor/A 66455-2019 karta.png", "A 66455-2019")</f>
        <v/>
      </c>
      <c r="V859">
        <f>HYPERLINK("https://klasma.github.io/Logging_2480/klagomål/A 66455-2019 FSC-klagomål.docx", "A 66455-2019")</f>
        <v/>
      </c>
      <c r="W859">
        <f>HYPERLINK("https://klasma.github.io/Logging_2480/klagomålsmail/A 66455-2019 FSC-klagomål mail.docx", "A 66455-2019")</f>
        <v/>
      </c>
      <c r="X859">
        <f>HYPERLINK("https://klasma.github.io/Logging_2480/tillsyn/A 66455-2019 tillsynsbegäran.docx", "A 66455-2019")</f>
        <v/>
      </c>
      <c r="Y859">
        <f>HYPERLINK("https://klasma.github.io/Logging_2480/tillsynsmail/A 66455-2019 tillsynsbegäran mail.docx", "A 66455-2019")</f>
        <v/>
      </c>
      <c r="Z859">
        <f>HYPERLINK("https://klasma.github.io/Logging_2480/fåglar/A 66455-2019 prioriterade fågelarter.docx", "A 66455-2019")</f>
        <v/>
      </c>
    </row>
    <row r="860" ht="15" customHeight="1">
      <c r="A860" t="inlineStr">
        <is>
          <t>A 65569-2019</t>
        </is>
      </c>
      <c r="B860" s="1" t="n">
        <v>43803</v>
      </c>
      <c r="C860" s="1" t="n">
        <v>45788</v>
      </c>
      <c r="D860" t="inlineStr">
        <is>
          <t>VÄSTERBOTTENS LÄN</t>
        </is>
      </c>
      <c r="E860" t="inlineStr">
        <is>
          <t>DOROTEA</t>
        </is>
      </c>
      <c r="F860" t="inlineStr">
        <is>
          <t>SCA</t>
        </is>
      </c>
      <c r="G860" t="n">
        <v>5.1</v>
      </c>
      <c r="H860" t="n">
        <v>0</v>
      </c>
      <c r="I860" t="n">
        <v>0</v>
      </c>
      <c r="J860" t="n">
        <v>1</v>
      </c>
      <c r="K860" t="n">
        <v>0</v>
      </c>
      <c r="L860" t="n">
        <v>1</v>
      </c>
      <c r="M860" t="n">
        <v>0</v>
      </c>
      <c r="N860" t="n">
        <v>0</v>
      </c>
      <c r="O860" t="n">
        <v>2</v>
      </c>
      <c r="P860" t="n">
        <v>1</v>
      </c>
      <c r="Q860" t="n">
        <v>2</v>
      </c>
      <c r="R860" s="2" t="inlineStr">
        <is>
          <t>Raggtaggsvamp
Knottrig blåslav</t>
        </is>
      </c>
      <c r="S860">
        <f>HYPERLINK("https://klasma.github.io/Logging_2425/artfynd/A 65569-2019 artfynd.xlsx", "A 65569-2019")</f>
        <v/>
      </c>
      <c r="T860">
        <f>HYPERLINK("https://klasma.github.io/Logging_2425/kartor/A 65569-2019 karta.png", "A 65569-2019")</f>
        <v/>
      </c>
      <c r="V860">
        <f>HYPERLINK("https://klasma.github.io/Logging_2425/klagomål/A 65569-2019 FSC-klagomål.docx", "A 65569-2019")</f>
        <v/>
      </c>
      <c r="W860">
        <f>HYPERLINK("https://klasma.github.io/Logging_2425/klagomålsmail/A 65569-2019 FSC-klagomål mail.docx", "A 65569-2019")</f>
        <v/>
      </c>
      <c r="X860">
        <f>HYPERLINK("https://klasma.github.io/Logging_2425/tillsyn/A 65569-2019 tillsynsbegäran.docx", "A 65569-2019")</f>
        <v/>
      </c>
      <c r="Y860">
        <f>HYPERLINK("https://klasma.github.io/Logging_2425/tillsynsmail/A 65569-2019 tillsynsbegäran mail.docx", "A 65569-2019")</f>
        <v/>
      </c>
    </row>
    <row r="861" ht="15" customHeight="1">
      <c r="A861" t="inlineStr">
        <is>
          <t>A 65564-2019</t>
        </is>
      </c>
      <c r="B861" s="1" t="n">
        <v>43803</v>
      </c>
      <c r="C861" s="1" t="n">
        <v>45788</v>
      </c>
      <c r="D861" t="inlineStr">
        <is>
          <t>VÄSTERBOTTENS LÄN</t>
        </is>
      </c>
      <c r="E861" t="inlineStr">
        <is>
          <t>DOROTEA</t>
        </is>
      </c>
      <c r="F861" t="inlineStr">
        <is>
          <t>SCA</t>
        </is>
      </c>
      <c r="G861" t="n">
        <v>6.6</v>
      </c>
      <c r="H861" t="n">
        <v>0</v>
      </c>
      <c r="I861" t="n">
        <v>0</v>
      </c>
      <c r="J861" t="n">
        <v>2</v>
      </c>
      <c r="K861" t="n">
        <v>0</v>
      </c>
      <c r="L861" t="n">
        <v>0</v>
      </c>
      <c r="M861" t="n">
        <v>0</v>
      </c>
      <c r="N861" t="n">
        <v>0</v>
      </c>
      <c r="O861" t="n">
        <v>2</v>
      </c>
      <c r="P861" t="n">
        <v>0</v>
      </c>
      <c r="Q861" t="n">
        <v>2</v>
      </c>
      <c r="R861" s="2" t="inlineStr">
        <is>
          <t>Doftskinn
Knottrig blåslav</t>
        </is>
      </c>
      <c r="S861">
        <f>HYPERLINK("https://klasma.github.io/Logging_2425/artfynd/A 65564-2019 artfynd.xlsx", "A 65564-2019")</f>
        <v/>
      </c>
      <c r="T861">
        <f>HYPERLINK("https://klasma.github.io/Logging_2425/kartor/A 65564-2019 karta.png", "A 65564-2019")</f>
        <v/>
      </c>
      <c r="V861">
        <f>HYPERLINK("https://klasma.github.io/Logging_2425/klagomål/A 65564-2019 FSC-klagomål.docx", "A 65564-2019")</f>
        <v/>
      </c>
      <c r="W861">
        <f>HYPERLINK("https://klasma.github.io/Logging_2425/klagomålsmail/A 65564-2019 FSC-klagomål mail.docx", "A 65564-2019")</f>
        <v/>
      </c>
      <c r="X861">
        <f>HYPERLINK("https://klasma.github.io/Logging_2425/tillsyn/A 65564-2019 tillsynsbegäran.docx", "A 65564-2019")</f>
        <v/>
      </c>
      <c r="Y861">
        <f>HYPERLINK("https://klasma.github.io/Logging_2425/tillsynsmail/A 65564-2019 tillsynsbegäran mail.docx", "A 65564-2019")</f>
        <v/>
      </c>
    </row>
    <row r="862" ht="15" customHeight="1">
      <c r="A862" t="inlineStr">
        <is>
          <t>A 65623-2019</t>
        </is>
      </c>
      <c r="B862" s="1" t="n">
        <v>43804</v>
      </c>
      <c r="C862" s="1" t="n">
        <v>45788</v>
      </c>
      <c r="D862" t="inlineStr">
        <is>
          <t>VÄSTERBOTTENS LÄN</t>
        </is>
      </c>
      <c r="E862" t="inlineStr">
        <is>
          <t>SKELLEFTEÅ</t>
        </is>
      </c>
      <c r="G862" t="n">
        <v>1.2</v>
      </c>
      <c r="H862" t="n">
        <v>0</v>
      </c>
      <c r="I862" t="n">
        <v>1</v>
      </c>
      <c r="J862" t="n">
        <v>1</v>
      </c>
      <c r="K862" t="n">
        <v>0</v>
      </c>
      <c r="L862" t="n">
        <v>0</v>
      </c>
      <c r="M862" t="n">
        <v>0</v>
      </c>
      <c r="N862" t="n">
        <v>0</v>
      </c>
      <c r="O862" t="n">
        <v>1</v>
      </c>
      <c r="P862" t="n">
        <v>0</v>
      </c>
      <c r="Q862" t="n">
        <v>2</v>
      </c>
      <c r="R862" s="2" t="inlineStr">
        <is>
          <t>Granticka
Vedticka</t>
        </is>
      </c>
      <c r="S862">
        <f>HYPERLINK("https://klasma.github.io/Logging_2482/artfynd/A 65623-2019 artfynd.xlsx", "A 65623-2019")</f>
        <v/>
      </c>
      <c r="T862">
        <f>HYPERLINK("https://klasma.github.io/Logging_2482/kartor/A 65623-2019 karta.png", "A 65623-2019")</f>
        <v/>
      </c>
      <c r="V862">
        <f>HYPERLINK("https://klasma.github.io/Logging_2482/klagomål/A 65623-2019 FSC-klagomål.docx", "A 65623-2019")</f>
        <v/>
      </c>
      <c r="W862">
        <f>HYPERLINK("https://klasma.github.io/Logging_2482/klagomålsmail/A 65623-2019 FSC-klagomål mail.docx", "A 65623-2019")</f>
        <v/>
      </c>
      <c r="X862">
        <f>HYPERLINK("https://klasma.github.io/Logging_2482/tillsyn/A 65623-2019 tillsynsbegäran.docx", "A 65623-2019")</f>
        <v/>
      </c>
      <c r="Y862">
        <f>HYPERLINK("https://klasma.github.io/Logging_2482/tillsynsmail/A 65623-2019 tillsynsbegäran mail.docx", "A 65623-2019")</f>
        <v/>
      </c>
    </row>
    <row r="863" ht="15" customHeight="1">
      <c r="A863" t="inlineStr">
        <is>
          <t>A 3124-2020</t>
        </is>
      </c>
      <c r="B863" s="1" t="n">
        <v>43843</v>
      </c>
      <c r="C863" s="1" t="n">
        <v>45788</v>
      </c>
      <c r="D863" t="inlineStr">
        <is>
          <t>VÄSTERBOTTENS LÄN</t>
        </is>
      </c>
      <c r="E863" t="inlineStr">
        <is>
          <t>NORDMALING</t>
        </is>
      </c>
      <c r="G863" t="n">
        <v>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HYPERLINK("https://klasma.github.io/Logging_2401/artfynd/A 3124-2020 artfynd.xlsx", "A 3124-2020")</f>
        <v/>
      </c>
      <c r="T863">
        <f>HYPERLINK("https://klasma.github.io/Logging_2401/kartor/A 3124-2020 karta.png", "A 3124-2020")</f>
        <v/>
      </c>
      <c r="V863">
        <f>HYPERLINK("https://klasma.github.io/Logging_2401/klagomål/A 3124-2020 FSC-klagomål.docx", "A 3124-2020")</f>
        <v/>
      </c>
      <c r="W863">
        <f>HYPERLINK("https://klasma.github.io/Logging_2401/klagomålsmail/A 3124-2020 FSC-klagomål mail.docx", "A 3124-2020")</f>
        <v/>
      </c>
      <c r="X863">
        <f>HYPERLINK("https://klasma.github.io/Logging_2401/tillsyn/A 3124-2020 tillsynsbegäran.docx", "A 3124-2020")</f>
        <v/>
      </c>
      <c r="Y863">
        <f>HYPERLINK("https://klasma.github.io/Logging_2401/tillsynsmail/A 3124-2020 tillsynsbegäran mail.docx", "A 3124-2020")</f>
        <v/>
      </c>
    </row>
    <row r="864" ht="15" customHeight="1">
      <c r="A864" t="inlineStr">
        <is>
          <t>A 17776-2020</t>
        </is>
      </c>
      <c r="B864" s="1" t="n">
        <v>43923</v>
      </c>
      <c r="C864" s="1" t="n">
        <v>45788</v>
      </c>
      <c r="D864" t="inlineStr">
        <is>
          <t>VÄSTERBOTTENS LÄN</t>
        </is>
      </c>
      <c r="E864" t="inlineStr">
        <is>
          <t>VILHELMINA</t>
        </is>
      </c>
      <c r="F864" t="inlineStr">
        <is>
          <t>Allmännings- och besparingsskogar</t>
        </is>
      </c>
      <c r="G864" t="n">
        <v>1</v>
      </c>
      <c r="H864" t="n">
        <v>0</v>
      </c>
      <c r="I864" t="n">
        <v>0</v>
      </c>
      <c r="J864" t="n">
        <v>2</v>
      </c>
      <c r="K864" t="n">
        <v>0</v>
      </c>
      <c r="L864" t="n">
        <v>0</v>
      </c>
      <c r="M864" t="n">
        <v>0</v>
      </c>
      <c r="N864" t="n">
        <v>0</v>
      </c>
      <c r="O864" t="n">
        <v>2</v>
      </c>
      <c r="P864" t="n">
        <v>0</v>
      </c>
      <c r="Q864" t="n">
        <v>2</v>
      </c>
      <c r="R864" s="2" t="inlineStr">
        <is>
          <t>Lunglav
Skrovellav</t>
        </is>
      </c>
      <c r="S864">
        <f>HYPERLINK("https://klasma.github.io/Logging_2462/artfynd/A 17776-2020 artfynd.xlsx", "A 17776-2020")</f>
        <v/>
      </c>
      <c r="T864">
        <f>HYPERLINK("https://klasma.github.io/Logging_2462/kartor/A 17776-2020 karta.png", "A 17776-2020")</f>
        <v/>
      </c>
      <c r="V864">
        <f>HYPERLINK("https://klasma.github.io/Logging_2462/klagomål/A 17776-2020 FSC-klagomål.docx", "A 17776-2020")</f>
        <v/>
      </c>
      <c r="W864">
        <f>HYPERLINK("https://klasma.github.io/Logging_2462/klagomålsmail/A 17776-2020 FSC-klagomål mail.docx", "A 17776-2020")</f>
        <v/>
      </c>
      <c r="X864">
        <f>HYPERLINK("https://klasma.github.io/Logging_2462/tillsyn/A 17776-2020 tillsynsbegäran.docx", "A 17776-2020")</f>
        <v/>
      </c>
      <c r="Y864">
        <f>HYPERLINK("https://klasma.github.io/Logging_2462/tillsynsmail/A 17776-2020 tillsynsbegäran mail.docx", "A 17776-2020")</f>
        <v/>
      </c>
    </row>
    <row r="865" ht="15" customHeight="1">
      <c r="A865" t="inlineStr">
        <is>
          <t>A 17910-2020</t>
        </is>
      </c>
      <c r="B865" s="1" t="n">
        <v>43924</v>
      </c>
      <c r="C865" s="1" t="n">
        <v>45788</v>
      </c>
      <c r="D865" t="inlineStr">
        <is>
          <t>VÄSTERBOTTENS LÄN</t>
        </is>
      </c>
      <c r="E865" t="inlineStr">
        <is>
          <t>VILHELMINA</t>
        </is>
      </c>
      <c r="F865" t="inlineStr">
        <is>
          <t>SCA</t>
        </is>
      </c>
      <c r="G865" t="n">
        <v>6.8</v>
      </c>
      <c r="H865" t="n">
        <v>0</v>
      </c>
      <c r="I865" t="n">
        <v>0</v>
      </c>
      <c r="J865" t="n">
        <v>2</v>
      </c>
      <c r="K865" t="n">
        <v>0</v>
      </c>
      <c r="L865" t="n">
        <v>0</v>
      </c>
      <c r="M865" t="n">
        <v>0</v>
      </c>
      <c r="N865" t="n">
        <v>0</v>
      </c>
      <c r="O865" t="n">
        <v>2</v>
      </c>
      <c r="P865" t="n">
        <v>0</v>
      </c>
      <c r="Q865" t="n">
        <v>2</v>
      </c>
      <c r="R865" s="2" t="inlineStr">
        <is>
          <t>Lunglav
Skrovellav</t>
        </is>
      </c>
      <c r="S865">
        <f>HYPERLINK("https://klasma.github.io/Logging_2462/artfynd/A 17910-2020 artfynd.xlsx", "A 17910-2020")</f>
        <v/>
      </c>
      <c r="T865">
        <f>HYPERLINK("https://klasma.github.io/Logging_2462/kartor/A 17910-2020 karta.png", "A 17910-2020")</f>
        <v/>
      </c>
      <c r="V865">
        <f>HYPERLINK("https://klasma.github.io/Logging_2462/klagomål/A 17910-2020 FSC-klagomål.docx", "A 17910-2020")</f>
        <v/>
      </c>
      <c r="W865">
        <f>HYPERLINK("https://klasma.github.io/Logging_2462/klagomålsmail/A 17910-2020 FSC-klagomål mail.docx", "A 17910-2020")</f>
        <v/>
      </c>
      <c r="X865">
        <f>HYPERLINK("https://klasma.github.io/Logging_2462/tillsyn/A 17910-2020 tillsynsbegäran.docx", "A 17910-2020")</f>
        <v/>
      </c>
      <c r="Y865">
        <f>HYPERLINK("https://klasma.github.io/Logging_2462/tillsynsmail/A 17910-2020 tillsynsbegäran mail.docx", "A 17910-2020")</f>
        <v/>
      </c>
    </row>
    <row r="866" ht="15" customHeight="1">
      <c r="A866" t="inlineStr">
        <is>
          <t>A 20878-2020</t>
        </is>
      </c>
      <c r="B866" s="1" t="n">
        <v>43949</v>
      </c>
      <c r="C866" s="1" t="n">
        <v>45788</v>
      </c>
      <c r="D866" t="inlineStr">
        <is>
          <t>VÄSTERBOTTENS LÄN</t>
        </is>
      </c>
      <c r="E866" t="inlineStr">
        <is>
          <t>DOROTEA</t>
        </is>
      </c>
      <c r="G866" t="n">
        <v>8.800000000000001</v>
      </c>
      <c r="H866" t="n">
        <v>0</v>
      </c>
      <c r="I866" t="n">
        <v>0</v>
      </c>
      <c r="J866" t="n">
        <v>2</v>
      </c>
      <c r="K866" t="n">
        <v>0</v>
      </c>
      <c r="L866" t="n">
        <v>0</v>
      </c>
      <c r="M866" t="n">
        <v>0</v>
      </c>
      <c r="N866" t="n">
        <v>0</v>
      </c>
      <c r="O866" t="n">
        <v>2</v>
      </c>
      <c r="P866" t="n">
        <v>0</v>
      </c>
      <c r="Q866" t="n">
        <v>2</v>
      </c>
      <c r="R866" s="2" t="inlineStr">
        <is>
          <t>Garnlav
Granticka</t>
        </is>
      </c>
      <c r="S866">
        <f>HYPERLINK("https://klasma.github.io/Logging_2425/artfynd/A 20878-2020 artfynd.xlsx", "A 20878-2020")</f>
        <v/>
      </c>
      <c r="T866">
        <f>HYPERLINK("https://klasma.github.io/Logging_2425/kartor/A 20878-2020 karta.png", "A 20878-2020")</f>
        <v/>
      </c>
      <c r="V866">
        <f>HYPERLINK("https://klasma.github.io/Logging_2425/klagomål/A 20878-2020 FSC-klagomål.docx", "A 20878-2020")</f>
        <v/>
      </c>
      <c r="W866">
        <f>HYPERLINK("https://klasma.github.io/Logging_2425/klagomålsmail/A 20878-2020 FSC-klagomål mail.docx", "A 20878-2020")</f>
        <v/>
      </c>
      <c r="X866">
        <f>HYPERLINK("https://klasma.github.io/Logging_2425/tillsyn/A 20878-2020 tillsynsbegäran.docx", "A 20878-2020")</f>
        <v/>
      </c>
      <c r="Y866">
        <f>HYPERLINK("https://klasma.github.io/Logging_2425/tillsynsmail/A 20878-2020 tillsynsbegäran mail.docx", "A 20878-2020")</f>
        <v/>
      </c>
    </row>
    <row r="867" ht="15" customHeight="1">
      <c r="A867" t="inlineStr">
        <is>
          <t>A 25026-2020</t>
        </is>
      </c>
      <c r="B867" s="1" t="n">
        <v>43979</v>
      </c>
      <c r="C867" s="1" t="n">
        <v>45788</v>
      </c>
      <c r="D867" t="inlineStr">
        <is>
          <t>VÄSTERBOTTENS LÄN</t>
        </is>
      </c>
      <c r="E867" t="inlineStr">
        <is>
          <t>MALÅ</t>
        </is>
      </c>
      <c r="F867" t="inlineStr">
        <is>
          <t>Sveaskog</t>
        </is>
      </c>
      <c r="G867" t="n">
        <v>14.3</v>
      </c>
      <c r="H867" t="n">
        <v>0</v>
      </c>
      <c r="I867" t="n">
        <v>0</v>
      </c>
      <c r="J867" t="n">
        <v>2</v>
      </c>
      <c r="K867" t="n">
        <v>0</v>
      </c>
      <c r="L867" t="n">
        <v>0</v>
      </c>
      <c r="M867" t="n">
        <v>0</v>
      </c>
      <c r="N867" t="n">
        <v>0</v>
      </c>
      <c r="O867" t="n">
        <v>2</v>
      </c>
      <c r="P867" t="n">
        <v>0</v>
      </c>
      <c r="Q867" t="n">
        <v>2</v>
      </c>
      <c r="R867" s="2" t="inlineStr">
        <is>
          <t>Nepachys cardiacae
Slät tallkapuschongbagge</t>
        </is>
      </c>
      <c r="S867">
        <f>HYPERLINK("https://klasma.github.io/Logging_2418/artfynd/A 25026-2020 artfynd.xlsx", "A 25026-2020")</f>
        <v/>
      </c>
      <c r="T867">
        <f>HYPERLINK("https://klasma.github.io/Logging_2418/kartor/A 25026-2020 karta.png", "A 25026-2020")</f>
        <v/>
      </c>
      <c r="V867">
        <f>HYPERLINK("https://klasma.github.io/Logging_2418/klagomål/A 25026-2020 FSC-klagomål.docx", "A 25026-2020")</f>
        <v/>
      </c>
      <c r="W867">
        <f>HYPERLINK("https://klasma.github.io/Logging_2418/klagomålsmail/A 25026-2020 FSC-klagomål mail.docx", "A 25026-2020")</f>
        <v/>
      </c>
      <c r="X867">
        <f>HYPERLINK("https://klasma.github.io/Logging_2418/tillsyn/A 25026-2020 tillsynsbegäran.docx", "A 25026-2020")</f>
        <v/>
      </c>
      <c r="Y867">
        <f>HYPERLINK("https://klasma.github.io/Logging_2418/tillsynsmail/A 25026-2020 tillsynsbegäran mail.docx", "A 25026-2020")</f>
        <v/>
      </c>
    </row>
    <row r="868" ht="15" customHeight="1">
      <c r="A868" t="inlineStr">
        <is>
          <t>A 32445-2020</t>
        </is>
      </c>
      <c r="B868" s="1" t="n">
        <v>44015</v>
      </c>
      <c r="C868" s="1" t="n">
        <v>45788</v>
      </c>
      <c r="D868" t="inlineStr">
        <is>
          <t>VÄSTERBOTTENS LÄN</t>
        </is>
      </c>
      <c r="E868" t="inlineStr">
        <is>
          <t>ÅSELE</t>
        </is>
      </c>
      <c r="G868" t="n">
        <v>2.5</v>
      </c>
      <c r="H868" t="n">
        <v>0</v>
      </c>
      <c r="I868" t="n">
        <v>0</v>
      </c>
      <c r="J868" t="n">
        <v>2</v>
      </c>
      <c r="K868" t="n">
        <v>0</v>
      </c>
      <c r="L868" t="n">
        <v>0</v>
      </c>
      <c r="M868" t="n">
        <v>0</v>
      </c>
      <c r="N868" t="n">
        <v>0</v>
      </c>
      <c r="O868" t="n">
        <v>2</v>
      </c>
      <c r="P868" t="n">
        <v>0</v>
      </c>
      <c r="Q868" t="n">
        <v>2</v>
      </c>
      <c r="R868" s="2" t="inlineStr">
        <is>
          <t>Dvärgbägarlav
Ullticka</t>
        </is>
      </c>
      <c r="S868">
        <f>HYPERLINK("https://klasma.github.io/Logging_2463/artfynd/A 32445-2020 artfynd.xlsx", "A 32445-2020")</f>
        <v/>
      </c>
      <c r="T868">
        <f>HYPERLINK("https://klasma.github.io/Logging_2463/kartor/A 32445-2020 karta.png", "A 32445-2020")</f>
        <v/>
      </c>
      <c r="V868">
        <f>HYPERLINK("https://klasma.github.io/Logging_2463/klagomål/A 32445-2020 FSC-klagomål.docx", "A 32445-2020")</f>
        <v/>
      </c>
      <c r="W868">
        <f>HYPERLINK("https://klasma.github.io/Logging_2463/klagomålsmail/A 32445-2020 FSC-klagomål mail.docx", "A 32445-2020")</f>
        <v/>
      </c>
      <c r="X868">
        <f>HYPERLINK("https://klasma.github.io/Logging_2463/tillsyn/A 32445-2020 tillsynsbegäran.docx", "A 32445-2020")</f>
        <v/>
      </c>
      <c r="Y868">
        <f>HYPERLINK("https://klasma.github.io/Logging_2463/tillsynsmail/A 32445-2020 tillsynsbegäran mail.docx", "A 32445-2020")</f>
        <v/>
      </c>
    </row>
    <row r="869" ht="15" customHeight="1">
      <c r="A869" t="inlineStr">
        <is>
          <t>A 34276-2020</t>
        </is>
      </c>
      <c r="B869" s="1" t="n">
        <v>44029</v>
      </c>
      <c r="C869" s="1" t="n">
        <v>45788</v>
      </c>
      <c r="D869" t="inlineStr">
        <is>
          <t>VÄSTERBOTTENS LÄN</t>
        </is>
      </c>
      <c r="E869" t="inlineStr">
        <is>
          <t>STORUMAN</t>
        </is>
      </c>
      <c r="F869" t="inlineStr">
        <is>
          <t>SCA</t>
        </is>
      </c>
      <c r="G869" t="n">
        <v>3.5</v>
      </c>
      <c r="H869" t="n">
        <v>1</v>
      </c>
      <c r="I869" t="n">
        <v>0</v>
      </c>
      <c r="J869" t="n">
        <v>1</v>
      </c>
      <c r="K869" t="n">
        <v>1</v>
      </c>
      <c r="L869" t="n">
        <v>0</v>
      </c>
      <c r="M869" t="n">
        <v>0</v>
      </c>
      <c r="N869" t="n">
        <v>0</v>
      </c>
      <c r="O869" t="n">
        <v>2</v>
      </c>
      <c r="P869" t="n">
        <v>1</v>
      </c>
      <c r="Q869" t="n">
        <v>2</v>
      </c>
      <c r="R869" s="2" t="inlineStr">
        <is>
          <t>Goliatmusseron
Duvhök</t>
        </is>
      </c>
      <c r="S869">
        <f>HYPERLINK("https://klasma.github.io/Logging_2421/artfynd/A 34276-2020 artfynd.xlsx", "A 34276-2020")</f>
        <v/>
      </c>
      <c r="T869">
        <f>HYPERLINK("https://klasma.github.io/Logging_2421/kartor/A 34276-2020 karta.png", "A 34276-2020")</f>
        <v/>
      </c>
      <c r="V869">
        <f>HYPERLINK("https://klasma.github.io/Logging_2421/klagomål/A 34276-2020 FSC-klagomål.docx", "A 34276-2020")</f>
        <v/>
      </c>
      <c r="W869">
        <f>HYPERLINK("https://klasma.github.io/Logging_2421/klagomålsmail/A 34276-2020 FSC-klagomål mail.docx", "A 34276-2020")</f>
        <v/>
      </c>
      <c r="X869">
        <f>HYPERLINK("https://klasma.github.io/Logging_2421/tillsyn/A 34276-2020 tillsynsbegäran.docx", "A 34276-2020")</f>
        <v/>
      </c>
      <c r="Y869">
        <f>HYPERLINK("https://klasma.github.io/Logging_2421/tillsynsmail/A 34276-2020 tillsynsbegäran mail.docx", "A 34276-2020")</f>
        <v/>
      </c>
      <c r="Z869">
        <f>HYPERLINK("https://klasma.github.io/Logging_2421/fåglar/A 34276-2020 prioriterade fågelarter.docx", "A 34276-2020")</f>
        <v/>
      </c>
    </row>
    <row r="870" ht="15" customHeight="1">
      <c r="A870" t="inlineStr">
        <is>
          <t>A 36344-2020</t>
        </is>
      </c>
      <c r="B870" s="1" t="n">
        <v>44049</v>
      </c>
      <c r="C870" s="1" t="n">
        <v>45788</v>
      </c>
      <c r="D870" t="inlineStr">
        <is>
          <t>VÄSTERBOTTENS LÄN</t>
        </is>
      </c>
      <c r="E870" t="inlineStr">
        <is>
          <t>SORSELE</t>
        </is>
      </c>
      <c r="G870" t="n">
        <v>5.4</v>
      </c>
      <c r="H870" t="n">
        <v>0</v>
      </c>
      <c r="I870" t="n">
        <v>0</v>
      </c>
      <c r="J870" t="n">
        <v>2</v>
      </c>
      <c r="K870" t="n">
        <v>0</v>
      </c>
      <c r="L870" t="n">
        <v>0</v>
      </c>
      <c r="M870" t="n">
        <v>0</v>
      </c>
      <c r="N870" t="n">
        <v>0</v>
      </c>
      <c r="O870" t="n">
        <v>2</v>
      </c>
      <c r="P870" t="n">
        <v>0</v>
      </c>
      <c r="Q870" t="n">
        <v>2</v>
      </c>
      <c r="R870" s="2" t="inlineStr">
        <is>
          <t>Garnlav
Rödbrun blekspik</t>
        </is>
      </c>
      <c r="S870">
        <f>HYPERLINK("https://klasma.github.io/Logging_2422/artfynd/A 36344-2020 artfynd.xlsx", "A 36344-2020")</f>
        <v/>
      </c>
      <c r="T870">
        <f>HYPERLINK("https://klasma.github.io/Logging_2422/kartor/A 36344-2020 karta.png", "A 36344-2020")</f>
        <v/>
      </c>
      <c r="V870">
        <f>HYPERLINK("https://klasma.github.io/Logging_2422/klagomål/A 36344-2020 FSC-klagomål.docx", "A 36344-2020")</f>
        <v/>
      </c>
      <c r="W870">
        <f>HYPERLINK("https://klasma.github.io/Logging_2422/klagomålsmail/A 36344-2020 FSC-klagomål mail.docx", "A 36344-2020")</f>
        <v/>
      </c>
      <c r="X870">
        <f>HYPERLINK("https://klasma.github.io/Logging_2422/tillsyn/A 36344-2020 tillsynsbegäran.docx", "A 36344-2020")</f>
        <v/>
      </c>
      <c r="Y870">
        <f>HYPERLINK("https://klasma.github.io/Logging_2422/tillsynsmail/A 36344-2020 tillsynsbegäran mail.docx", "A 36344-2020")</f>
        <v/>
      </c>
    </row>
    <row r="871" ht="15" customHeight="1">
      <c r="A871" t="inlineStr">
        <is>
          <t>A 40134-2020</t>
        </is>
      </c>
      <c r="B871" s="1" t="n">
        <v>44067</v>
      </c>
      <c r="C871" s="1" t="n">
        <v>45788</v>
      </c>
      <c r="D871" t="inlineStr">
        <is>
          <t>VÄSTERBOTTENS LÄN</t>
        </is>
      </c>
      <c r="E871" t="inlineStr">
        <is>
          <t>SKELLEFTEÅ</t>
        </is>
      </c>
      <c r="G871" t="n">
        <v>6.1</v>
      </c>
      <c r="H871" t="n">
        <v>0</v>
      </c>
      <c r="I871" t="n">
        <v>1</v>
      </c>
      <c r="J871" t="n">
        <v>0</v>
      </c>
      <c r="K871" t="n">
        <v>0</v>
      </c>
      <c r="L871" t="n">
        <v>1</v>
      </c>
      <c r="M871" t="n">
        <v>0</v>
      </c>
      <c r="N871" t="n">
        <v>0</v>
      </c>
      <c r="O871" t="n">
        <v>1</v>
      </c>
      <c r="P871" t="n">
        <v>1</v>
      </c>
      <c r="Q871" t="n">
        <v>2</v>
      </c>
      <c r="R871" s="2" t="inlineStr">
        <is>
          <t>Större svartbagge
Stekelbock</t>
        </is>
      </c>
      <c r="S871">
        <f>HYPERLINK("https://klasma.github.io/Logging_2482/artfynd/A 40134-2020 artfynd.xlsx", "A 40134-2020")</f>
        <v/>
      </c>
      <c r="T871">
        <f>HYPERLINK("https://klasma.github.io/Logging_2482/kartor/A 40134-2020 karta.png", "A 40134-2020")</f>
        <v/>
      </c>
      <c r="V871">
        <f>HYPERLINK("https://klasma.github.io/Logging_2482/klagomål/A 40134-2020 FSC-klagomål.docx", "A 40134-2020")</f>
        <v/>
      </c>
      <c r="W871">
        <f>HYPERLINK("https://klasma.github.io/Logging_2482/klagomålsmail/A 40134-2020 FSC-klagomål mail.docx", "A 40134-2020")</f>
        <v/>
      </c>
      <c r="X871">
        <f>HYPERLINK("https://klasma.github.io/Logging_2482/tillsyn/A 40134-2020 tillsynsbegäran.docx", "A 40134-2020")</f>
        <v/>
      </c>
      <c r="Y871">
        <f>HYPERLINK("https://klasma.github.io/Logging_2482/tillsynsmail/A 40134-2020 tillsynsbegäran mail.docx", "A 40134-2020")</f>
        <v/>
      </c>
    </row>
    <row r="872" ht="15" customHeight="1">
      <c r="A872" t="inlineStr">
        <is>
          <t>A 40420-2020</t>
        </is>
      </c>
      <c r="B872" s="1" t="n">
        <v>44068</v>
      </c>
      <c r="C872" s="1" t="n">
        <v>45788</v>
      </c>
      <c r="D872" t="inlineStr">
        <is>
          <t>VÄSTERBOTTENS LÄN</t>
        </is>
      </c>
      <c r="E872" t="inlineStr">
        <is>
          <t>UMEÅ</t>
        </is>
      </c>
      <c r="F872" t="inlineStr">
        <is>
          <t>Kommuner</t>
        </is>
      </c>
      <c r="G872" t="n">
        <v>4.1</v>
      </c>
      <c r="H872" t="n">
        <v>1</v>
      </c>
      <c r="I872" t="n">
        <v>0</v>
      </c>
      <c r="J872" t="n">
        <v>2</v>
      </c>
      <c r="K872" t="n">
        <v>0</v>
      </c>
      <c r="L872" t="n">
        <v>0</v>
      </c>
      <c r="M872" t="n">
        <v>0</v>
      </c>
      <c r="N872" t="n">
        <v>0</v>
      </c>
      <c r="O872" t="n">
        <v>2</v>
      </c>
      <c r="P872" t="n">
        <v>0</v>
      </c>
      <c r="Q872" t="n">
        <v>2</v>
      </c>
      <c r="R872" s="2" t="inlineStr">
        <is>
          <t>Leptoporus mollis
Tretåig hackspett</t>
        </is>
      </c>
      <c r="S872">
        <f>HYPERLINK("https://klasma.github.io/Logging_2480/artfynd/A 40420-2020 artfynd.xlsx", "A 40420-2020")</f>
        <v/>
      </c>
      <c r="T872">
        <f>HYPERLINK("https://klasma.github.io/Logging_2480/kartor/A 40420-2020 karta.png", "A 40420-2020")</f>
        <v/>
      </c>
      <c r="V872">
        <f>HYPERLINK("https://klasma.github.io/Logging_2480/klagomål/A 40420-2020 FSC-klagomål.docx", "A 40420-2020")</f>
        <v/>
      </c>
      <c r="W872">
        <f>HYPERLINK("https://klasma.github.io/Logging_2480/klagomålsmail/A 40420-2020 FSC-klagomål mail.docx", "A 40420-2020")</f>
        <v/>
      </c>
      <c r="X872">
        <f>HYPERLINK("https://klasma.github.io/Logging_2480/tillsyn/A 40420-2020 tillsynsbegäran.docx", "A 40420-2020")</f>
        <v/>
      </c>
      <c r="Y872">
        <f>HYPERLINK("https://klasma.github.io/Logging_2480/tillsynsmail/A 40420-2020 tillsynsbegäran mail.docx", "A 40420-2020")</f>
        <v/>
      </c>
      <c r="Z872">
        <f>HYPERLINK("https://klasma.github.io/Logging_2480/fåglar/A 40420-2020 prioriterade fågelarter.docx", "A 40420-2020")</f>
        <v/>
      </c>
    </row>
    <row r="873" ht="15" customHeight="1">
      <c r="A873" t="inlineStr">
        <is>
          <t>A 40914-2020</t>
        </is>
      </c>
      <c r="B873" s="1" t="n">
        <v>44068</v>
      </c>
      <c r="C873" s="1" t="n">
        <v>45788</v>
      </c>
      <c r="D873" t="inlineStr">
        <is>
          <t>VÄSTERBOTTENS LÄN</t>
        </is>
      </c>
      <c r="E873" t="inlineStr">
        <is>
          <t>NORDMALING</t>
        </is>
      </c>
      <c r="G873" t="n">
        <v>1.2</v>
      </c>
      <c r="H873" t="n">
        <v>0</v>
      </c>
      <c r="I873" t="n">
        <v>1</v>
      </c>
      <c r="J873" t="n">
        <v>1</v>
      </c>
      <c r="K873" t="n">
        <v>0</v>
      </c>
      <c r="L873" t="n">
        <v>0</v>
      </c>
      <c r="M873" t="n">
        <v>0</v>
      </c>
      <c r="N873" t="n">
        <v>0</v>
      </c>
      <c r="O873" t="n">
        <v>1</v>
      </c>
      <c r="P873" t="n">
        <v>0</v>
      </c>
      <c r="Q873" t="n">
        <v>2</v>
      </c>
      <c r="R873" s="2" t="inlineStr">
        <is>
          <t>Asppraktbagge
Stekelbock</t>
        </is>
      </c>
      <c r="S873">
        <f>HYPERLINK("https://klasma.github.io/Logging_2401/artfynd/A 40914-2020 artfynd.xlsx", "A 40914-2020")</f>
        <v/>
      </c>
      <c r="T873">
        <f>HYPERLINK("https://klasma.github.io/Logging_2401/kartor/A 40914-2020 karta.png", "A 40914-2020")</f>
        <v/>
      </c>
      <c r="V873">
        <f>HYPERLINK("https://klasma.github.io/Logging_2401/klagomål/A 40914-2020 FSC-klagomål.docx", "A 40914-2020")</f>
        <v/>
      </c>
      <c r="W873">
        <f>HYPERLINK("https://klasma.github.io/Logging_2401/klagomålsmail/A 40914-2020 FSC-klagomål mail.docx", "A 40914-2020")</f>
        <v/>
      </c>
      <c r="X873">
        <f>HYPERLINK("https://klasma.github.io/Logging_2401/tillsyn/A 40914-2020 tillsynsbegäran.docx", "A 40914-2020")</f>
        <v/>
      </c>
      <c r="Y873">
        <f>HYPERLINK("https://klasma.github.io/Logging_2401/tillsynsmail/A 40914-2020 tillsynsbegäran mail.docx", "A 40914-2020")</f>
        <v/>
      </c>
    </row>
    <row r="874" ht="15" customHeight="1">
      <c r="A874" t="inlineStr">
        <is>
          <t>A 41578-2020</t>
        </is>
      </c>
      <c r="B874" s="1" t="n">
        <v>44074</v>
      </c>
      <c r="C874" s="1" t="n">
        <v>45788</v>
      </c>
      <c r="D874" t="inlineStr">
        <is>
          <t>VÄSTERBOTTENS LÄN</t>
        </is>
      </c>
      <c r="E874" t="inlineStr">
        <is>
          <t>VINDELN</t>
        </is>
      </c>
      <c r="F874" t="inlineStr">
        <is>
          <t>Sveaskog</t>
        </is>
      </c>
      <c r="G874" t="n">
        <v>6.8</v>
      </c>
      <c r="H874" t="n">
        <v>0</v>
      </c>
      <c r="I874" t="n">
        <v>1</v>
      </c>
      <c r="J874" t="n">
        <v>1</v>
      </c>
      <c r="K874" t="n">
        <v>0</v>
      </c>
      <c r="L874" t="n">
        <v>0</v>
      </c>
      <c r="M874" t="n">
        <v>0</v>
      </c>
      <c r="N874" t="n">
        <v>0</v>
      </c>
      <c r="O874" t="n">
        <v>1</v>
      </c>
      <c r="P874" t="n">
        <v>0</v>
      </c>
      <c r="Q874" t="n">
        <v>2</v>
      </c>
      <c r="R874" s="2" t="inlineStr">
        <is>
          <t>Stiftgelélav
Skinnlav</t>
        </is>
      </c>
      <c r="S874">
        <f>HYPERLINK("https://klasma.github.io/Logging_2404/artfynd/A 41578-2020 artfynd.xlsx", "A 41578-2020")</f>
        <v/>
      </c>
      <c r="T874">
        <f>HYPERLINK("https://klasma.github.io/Logging_2404/kartor/A 41578-2020 karta.png", "A 41578-2020")</f>
        <v/>
      </c>
      <c r="V874">
        <f>HYPERLINK("https://klasma.github.io/Logging_2404/klagomål/A 41578-2020 FSC-klagomål.docx", "A 41578-2020")</f>
        <v/>
      </c>
      <c r="W874">
        <f>HYPERLINK("https://klasma.github.io/Logging_2404/klagomålsmail/A 41578-2020 FSC-klagomål mail.docx", "A 41578-2020")</f>
        <v/>
      </c>
      <c r="X874">
        <f>HYPERLINK("https://klasma.github.io/Logging_2404/tillsyn/A 41578-2020 tillsynsbegäran.docx", "A 41578-2020")</f>
        <v/>
      </c>
      <c r="Y874">
        <f>HYPERLINK("https://klasma.github.io/Logging_2404/tillsynsmail/A 41578-2020 tillsynsbegäran mail.docx", "A 41578-2020")</f>
        <v/>
      </c>
    </row>
    <row r="875" ht="15" customHeight="1">
      <c r="A875" t="inlineStr">
        <is>
          <t>A 43940-2020</t>
        </is>
      </c>
      <c r="B875" s="1" t="n">
        <v>44078</v>
      </c>
      <c r="C875" s="1" t="n">
        <v>45788</v>
      </c>
      <c r="D875" t="inlineStr">
        <is>
          <t>VÄSTERBOTTENS LÄN</t>
        </is>
      </c>
      <c r="E875" t="inlineStr">
        <is>
          <t>SORSELE</t>
        </is>
      </c>
      <c r="F875" t="inlineStr">
        <is>
          <t>Allmännings- och besparingsskogar</t>
        </is>
      </c>
      <c r="G875" t="n">
        <v>126.6</v>
      </c>
      <c r="H875" t="n">
        <v>0</v>
      </c>
      <c r="I875" t="n">
        <v>0</v>
      </c>
      <c r="J875" t="n">
        <v>1</v>
      </c>
      <c r="K875" t="n">
        <v>1</v>
      </c>
      <c r="L875" t="n">
        <v>0</v>
      </c>
      <c r="M875" t="n">
        <v>0</v>
      </c>
      <c r="N875" t="n">
        <v>0</v>
      </c>
      <c r="O875" t="n">
        <v>2</v>
      </c>
      <c r="P875" t="n">
        <v>1</v>
      </c>
      <c r="Q875" t="n">
        <v>2</v>
      </c>
      <c r="R875" s="2" t="inlineStr">
        <is>
          <t>Tajgaskinn
Dvärgbägarlav</t>
        </is>
      </c>
      <c r="S875">
        <f>HYPERLINK("https://klasma.github.io/Logging_2422/artfynd/A 43940-2020 artfynd.xlsx", "A 43940-2020")</f>
        <v/>
      </c>
      <c r="T875">
        <f>HYPERLINK("https://klasma.github.io/Logging_2422/kartor/A 43940-2020 karta.png", "A 43940-2020")</f>
        <v/>
      </c>
      <c r="V875">
        <f>HYPERLINK("https://klasma.github.io/Logging_2422/klagomål/A 43940-2020 FSC-klagomål.docx", "A 43940-2020")</f>
        <v/>
      </c>
      <c r="W875">
        <f>HYPERLINK("https://klasma.github.io/Logging_2422/klagomålsmail/A 43940-2020 FSC-klagomål mail.docx", "A 43940-2020")</f>
        <v/>
      </c>
      <c r="X875">
        <f>HYPERLINK("https://klasma.github.io/Logging_2422/tillsyn/A 43940-2020 tillsynsbegäran.docx", "A 43940-2020")</f>
        <v/>
      </c>
      <c r="Y875">
        <f>HYPERLINK("https://klasma.github.io/Logging_2422/tillsynsmail/A 43940-2020 tillsynsbegäran mail.docx", "A 43940-2020")</f>
        <v/>
      </c>
    </row>
    <row r="876" ht="15" customHeight="1">
      <c r="A876" t="inlineStr">
        <is>
          <t>A 43975-2020</t>
        </is>
      </c>
      <c r="B876" s="1" t="n">
        <v>44078</v>
      </c>
      <c r="C876" s="1" t="n">
        <v>45788</v>
      </c>
      <c r="D876" t="inlineStr">
        <is>
          <t>VÄSTERBOTTENS LÄN</t>
        </is>
      </c>
      <c r="E876" t="inlineStr">
        <is>
          <t>SORSELE</t>
        </is>
      </c>
      <c r="F876" t="inlineStr">
        <is>
          <t>Allmännings- och besparingsskogar</t>
        </is>
      </c>
      <c r="G876" t="n">
        <v>93.5</v>
      </c>
      <c r="H876" t="n">
        <v>0</v>
      </c>
      <c r="I876" t="n">
        <v>0</v>
      </c>
      <c r="J876" t="n">
        <v>2</v>
      </c>
      <c r="K876" t="n">
        <v>0</v>
      </c>
      <c r="L876" t="n">
        <v>0</v>
      </c>
      <c r="M876" t="n">
        <v>0</v>
      </c>
      <c r="N876" t="n">
        <v>0</v>
      </c>
      <c r="O876" t="n">
        <v>2</v>
      </c>
      <c r="P876" t="n">
        <v>0</v>
      </c>
      <c r="Q876" t="n">
        <v>2</v>
      </c>
      <c r="R876" s="2" t="inlineStr">
        <is>
          <t>Granticka
Vitgrynig nållav</t>
        </is>
      </c>
      <c r="S876">
        <f>HYPERLINK("https://klasma.github.io/Logging_2422/artfynd/A 43975-2020 artfynd.xlsx", "A 43975-2020")</f>
        <v/>
      </c>
      <c r="T876">
        <f>HYPERLINK("https://klasma.github.io/Logging_2422/kartor/A 43975-2020 karta.png", "A 43975-2020")</f>
        <v/>
      </c>
      <c r="V876">
        <f>HYPERLINK("https://klasma.github.io/Logging_2422/klagomål/A 43975-2020 FSC-klagomål.docx", "A 43975-2020")</f>
        <v/>
      </c>
      <c r="W876">
        <f>HYPERLINK("https://klasma.github.io/Logging_2422/klagomålsmail/A 43975-2020 FSC-klagomål mail.docx", "A 43975-2020")</f>
        <v/>
      </c>
      <c r="X876">
        <f>HYPERLINK("https://klasma.github.io/Logging_2422/tillsyn/A 43975-2020 tillsynsbegäran.docx", "A 43975-2020")</f>
        <v/>
      </c>
      <c r="Y876">
        <f>HYPERLINK("https://klasma.github.io/Logging_2422/tillsynsmail/A 43975-2020 tillsynsbegäran mail.docx", "A 43975-2020")</f>
        <v/>
      </c>
    </row>
    <row r="877" ht="15" customHeight="1">
      <c r="A877" t="inlineStr">
        <is>
          <t>A 48400-2020</t>
        </is>
      </c>
      <c r="B877" s="1" t="n">
        <v>44102</v>
      </c>
      <c r="C877" s="1" t="n">
        <v>45788</v>
      </c>
      <c r="D877" t="inlineStr">
        <is>
          <t>VÄSTERBOTTENS LÄN</t>
        </is>
      </c>
      <c r="E877" t="inlineStr">
        <is>
          <t>UMEÅ</t>
        </is>
      </c>
      <c r="G877" t="n">
        <v>1.8</v>
      </c>
      <c r="H877" t="n">
        <v>1</v>
      </c>
      <c r="I877" t="n">
        <v>0</v>
      </c>
      <c r="J877" t="n">
        <v>1</v>
      </c>
      <c r="K877" t="n">
        <v>0</v>
      </c>
      <c r="L877" t="n">
        <v>0</v>
      </c>
      <c r="M877" t="n">
        <v>0</v>
      </c>
      <c r="N877" t="n">
        <v>0</v>
      </c>
      <c r="O877" t="n">
        <v>1</v>
      </c>
      <c r="P877" t="n">
        <v>0</v>
      </c>
      <c r="Q877" t="n">
        <v>2</v>
      </c>
      <c r="R877" s="2" t="inlineStr">
        <is>
          <t>Granticka
Orre</t>
        </is>
      </c>
      <c r="S877">
        <f>HYPERLINK("https://klasma.github.io/Logging_2480/artfynd/A 48400-2020 artfynd.xlsx", "A 48400-2020")</f>
        <v/>
      </c>
      <c r="T877">
        <f>HYPERLINK("https://klasma.github.io/Logging_2480/kartor/A 48400-2020 karta.png", "A 48400-2020")</f>
        <v/>
      </c>
      <c r="V877">
        <f>HYPERLINK("https://klasma.github.io/Logging_2480/klagomål/A 48400-2020 FSC-klagomål.docx", "A 48400-2020")</f>
        <v/>
      </c>
      <c r="W877">
        <f>HYPERLINK("https://klasma.github.io/Logging_2480/klagomålsmail/A 48400-2020 FSC-klagomål mail.docx", "A 48400-2020")</f>
        <v/>
      </c>
      <c r="X877">
        <f>HYPERLINK("https://klasma.github.io/Logging_2480/tillsyn/A 48400-2020 tillsynsbegäran.docx", "A 48400-2020")</f>
        <v/>
      </c>
      <c r="Y877">
        <f>HYPERLINK("https://klasma.github.io/Logging_2480/tillsynsmail/A 48400-2020 tillsynsbegäran mail.docx", "A 48400-2020")</f>
        <v/>
      </c>
      <c r="Z877">
        <f>HYPERLINK("https://klasma.github.io/Logging_2480/fåglar/A 48400-2020 prioriterade fågelarter.docx", "A 48400-2020")</f>
        <v/>
      </c>
    </row>
    <row r="878" ht="15" customHeight="1">
      <c r="A878" t="inlineStr">
        <is>
          <t>A 53541-2020</t>
        </is>
      </c>
      <c r="B878" s="1" t="n">
        <v>44124</v>
      </c>
      <c r="C878" s="1" t="n">
        <v>45788</v>
      </c>
      <c r="D878" t="inlineStr">
        <is>
          <t>VÄSTERBOTTENS LÄN</t>
        </is>
      </c>
      <c r="E878" t="inlineStr">
        <is>
          <t>SKELLEFTEÅ</t>
        </is>
      </c>
      <c r="F878" t="inlineStr">
        <is>
          <t>Sveaskog</t>
        </is>
      </c>
      <c r="G878" t="n">
        <v>4.4</v>
      </c>
      <c r="H878" t="n">
        <v>0</v>
      </c>
      <c r="I878" t="n">
        <v>1</v>
      </c>
      <c r="J878" t="n">
        <v>1</v>
      </c>
      <c r="K878" t="n">
        <v>0</v>
      </c>
      <c r="L878" t="n">
        <v>0</v>
      </c>
      <c r="M878" t="n">
        <v>0</v>
      </c>
      <c r="N878" t="n">
        <v>0</v>
      </c>
      <c r="O878" t="n">
        <v>1</v>
      </c>
      <c r="P878" t="n">
        <v>0</v>
      </c>
      <c r="Q878" t="n">
        <v>2</v>
      </c>
      <c r="R878" s="2" t="inlineStr">
        <is>
          <t>Motaggsvamp
Dropptaggsvamp</t>
        </is>
      </c>
      <c r="S878">
        <f>HYPERLINK("https://klasma.github.io/Logging_2482/artfynd/A 53541-2020 artfynd.xlsx", "A 53541-2020")</f>
        <v/>
      </c>
      <c r="T878">
        <f>HYPERLINK("https://klasma.github.io/Logging_2482/kartor/A 53541-2020 karta.png", "A 53541-2020")</f>
        <v/>
      </c>
      <c r="V878">
        <f>HYPERLINK("https://klasma.github.io/Logging_2482/klagomål/A 53541-2020 FSC-klagomål.docx", "A 53541-2020")</f>
        <v/>
      </c>
      <c r="W878">
        <f>HYPERLINK("https://klasma.github.io/Logging_2482/klagomålsmail/A 53541-2020 FSC-klagomål mail.docx", "A 53541-2020")</f>
        <v/>
      </c>
      <c r="X878">
        <f>HYPERLINK("https://klasma.github.io/Logging_2482/tillsyn/A 53541-2020 tillsynsbegäran.docx", "A 53541-2020")</f>
        <v/>
      </c>
      <c r="Y878">
        <f>HYPERLINK("https://klasma.github.io/Logging_2482/tillsynsmail/A 53541-2020 tillsynsbegäran mail.docx", "A 53541-2020")</f>
        <v/>
      </c>
    </row>
    <row r="879" ht="15" customHeight="1">
      <c r="A879" t="inlineStr">
        <is>
          <t>A 54504-2020</t>
        </is>
      </c>
      <c r="B879" s="1" t="n">
        <v>44126</v>
      </c>
      <c r="C879" s="1" t="n">
        <v>45788</v>
      </c>
      <c r="D879" t="inlineStr">
        <is>
          <t>VÄSTERBOTTENS LÄN</t>
        </is>
      </c>
      <c r="E879" t="inlineStr">
        <is>
          <t>ROBERTSFORS</t>
        </is>
      </c>
      <c r="F879" t="inlineStr">
        <is>
          <t>Holmen skog AB</t>
        </is>
      </c>
      <c r="G879" t="n">
        <v>6.4</v>
      </c>
      <c r="H879" t="n">
        <v>2</v>
      </c>
      <c r="I879" t="n">
        <v>0</v>
      </c>
      <c r="J879" t="n">
        <v>2</v>
      </c>
      <c r="K879" t="n">
        <v>0</v>
      </c>
      <c r="L879" t="n">
        <v>0</v>
      </c>
      <c r="M879" t="n">
        <v>0</v>
      </c>
      <c r="N879" t="n">
        <v>0</v>
      </c>
      <c r="O879" t="n">
        <v>2</v>
      </c>
      <c r="P879" t="n">
        <v>0</v>
      </c>
      <c r="Q879" t="n">
        <v>2</v>
      </c>
      <c r="R879" s="2" t="inlineStr">
        <is>
          <t>Svartvit flugsnappare
Talltita</t>
        </is>
      </c>
      <c r="S879">
        <f>HYPERLINK("https://klasma.github.io/Logging_2409/artfynd/A 54504-2020 artfynd.xlsx", "A 54504-2020")</f>
        <v/>
      </c>
      <c r="T879">
        <f>HYPERLINK("https://klasma.github.io/Logging_2409/kartor/A 54504-2020 karta.png", "A 54504-2020")</f>
        <v/>
      </c>
      <c r="V879">
        <f>HYPERLINK("https://klasma.github.io/Logging_2409/klagomål/A 54504-2020 FSC-klagomål.docx", "A 54504-2020")</f>
        <v/>
      </c>
      <c r="W879">
        <f>HYPERLINK("https://klasma.github.io/Logging_2409/klagomålsmail/A 54504-2020 FSC-klagomål mail.docx", "A 54504-2020")</f>
        <v/>
      </c>
      <c r="X879">
        <f>HYPERLINK("https://klasma.github.io/Logging_2409/tillsyn/A 54504-2020 tillsynsbegäran.docx", "A 54504-2020")</f>
        <v/>
      </c>
      <c r="Y879">
        <f>HYPERLINK("https://klasma.github.io/Logging_2409/tillsynsmail/A 54504-2020 tillsynsbegäran mail.docx", "A 54504-2020")</f>
        <v/>
      </c>
      <c r="Z879">
        <f>HYPERLINK("https://klasma.github.io/Logging_2409/fåglar/A 54504-2020 prioriterade fågelarter.docx", "A 54504-2020")</f>
        <v/>
      </c>
    </row>
    <row r="880" ht="15" customHeight="1">
      <c r="A880" t="inlineStr">
        <is>
          <t>A 55809-2020</t>
        </is>
      </c>
      <c r="B880" s="1" t="n">
        <v>44132</v>
      </c>
      <c r="C880" s="1" t="n">
        <v>45788</v>
      </c>
      <c r="D880" t="inlineStr">
        <is>
          <t>VÄSTERBOTTENS LÄN</t>
        </is>
      </c>
      <c r="E880" t="inlineStr">
        <is>
          <t>SKELLEFTEÅ</t>
        </is>
      </c>
      <c r="F880" t="inlineStr">
        <is>
          <t>Sveaskog</t>
        </is>
      </c>
      <c r="G880" t="n">
        <v>9.9</v>
      </c>
      <c r="H880" t="n">
        <v>2</v>
      </c>
      <c r="I880" t="n">
        <v>0</v>
      </c>
      <c r="J880" t="n">
        <v>1</v>
      </c>
      <c r="K880" t="n">
        <v>0</v>
      </c>
      <c r="L880" t="n">
        <v>0</v>
      </c>
      <c r="M880" t="n">
        <v>0</v>
      </c>
      <c r="N880" t="n">
        <v>0</v>
      </c>
      <c r="O880" t="n">
        <v>1</v>
      </c>
      <c r="P880" t="n">
        <v>0</v>
      </c>
      <c r="Q880" t="n">
        <v>2</v>
      </c>
      <c r="R880" s="2" t="inlineStr">
        <is>
          <t>Nordfladdermus
Fläcknycklar</t>
        </is>
      </c>
      <c r="S880">
        <f>HYPERLINK("https://klasma.github.io/Logging_2482/artfynd/A 55809-2020 artfynd.xlsx", "A 55809-2020")</f>
        <v/>
      </c>
      <c r="T880">
        <f>HYPERLINK("https://klasma.github.io/Logging_2482/kartor/A 55809-2020 karta.png", "A 55809-2020")</f>
        <v/>
      </c>
      <c r="V880">
        <f>HYPERLINK("https://klasma.github.io/Logging_2482/klagomål/A 55809-2020 FSC-klagomål.docx", "A 55809-2020")</f>
        <v/>
      </c>
      <c r="W880">
        <f>HYPERLINK("https://klasma.github.io/Logging_2482/klagomålsmail/A 55809-2020 FSC-klagomål mail.docx", "A 55809-2020")</f>
        <v/>
      </c>
      <c r="X880">
        <f>HYPERLINK("https://klasma.github.io/Logging_2482/tillsyn/A 55809-2020 tillsynsbegäran.docx", "A 55809-2020")</f>
        <v/>
      </c>
      <c r="Y880">
        <f>HYPERLINK("https://klasma.github.io/Logging_2482/tillsynsmail/A 55809-2020 tillsynsbegäran mail.docx", "A 55809-2020")</f>
        <v/>
      </c>
    </row>
    <row r="881" ht="15" customHeight="1">
      <c r="A881" t="inlineStr">
        <is>
          <t>A 57315-2020</t>
        </is>
      </c>
      <c r="B881" s="1" t="n">
        <v>44139</v>
      </c>
      <c r="C881" s="1" t="n">
        <v>45788</v>
      </c>
      <c r="D881" t="inlineStr">
        <is>
          <t>VÄSTERBOTTENS LÄN</t>
        </is>
      </c>
      <c r="E881" t="inlineStr">
        <is>
          <t>ÅSELE</t>
        </is>
      </c>
      <c r="G881" t="n">
        <v>10.7</v>
      </c>
      <c r="H881" t="n">
        <v>0</v>
      </c>
      <c r="I881" t="n">
        <v>0</v>
      </c>
      <c r="J881" t="n">
        <v>2</v>
      </c>
      <c r="K881" t="n">
        <v>0</v>
      </c>
      <c r="L881" t="n">
        <v>0</v>
      </c>
      <c r="M881" t="n">
        <v>0</v>
      </c>
      <c r="N881" t="n">
        <v>0</v>
      </c>
      <c r="O881" t="n">
        <v>2</v>
      </c>
      <c r="P881" t="n">
        <v>0</v>
      </c>
      <c r="Q881" t="n">
        <v>2</v>
      </c>
      <c r="R881" s="2" t="inlineStr">
        <is>
          <t>Gammelgransskål
Skrovellav</t>
        </is>
      </c>
      <c r="S881">
        <f>HYPERLINK("https://klasma.github.io/Logging_2463/artfynd/A 57315-2020 artfynd.xlsx", "A 57315-2020")</f>
        <v/>
      </c>
      <c r="T881">
        <f>HYPERLINK("https://klasma.github.io/Logging_2463/kartor/A 57315-2020 karta.png", "A 57315-2020")</f>
        <v/>
      </c>
      <c r="V881">
        <f>HYPERLINK("https://klasma.github.io/Logging_2463/klagomål/A 57315-2020 FSC-klagomål.docx", "A 57315-2020")</f>
        <v/>
      </c>
      <c r="W881">
        <f>HYPERLINK("https://klasma.github.io/Logging_2463/klagomålsmail/A 57315-2020 FSC-klagomål mail.docx", "A 57315-2020")</f>
        <v/>
      </c>
      <c r="X881">
        <f>HYPERLINK("https://klasma.github.io/Logging_2463/tillsyn/A 57315-2020 tillsynsbegäran.docx", "A 57315-2020")</f>
        <v/>
      </c>
      <c r="Y881">
        <f>HYPERLINK("https://klasma.github.io/Logging_2463/tillsynsmail/A 57315-2020 tillsynsbegäran mail.docx", "A 57315-2020")</f>
        <v/>
      </c>
    </row>
    <row r="882" ht="15" customHeight="1">
      <c r="A882" t="inlineStr">
        <is>
          <t>A 61585-2020</t>
        </is>
      </c>
      <c r="B882" s="1" t="n">
        <v>44154</v>
      </c>
      <c r="C882" s="1" t="n">
        <v>45788</v>
      </c>
      <c r="D882" t="inlineStr">
        <is>
          <t>VÄSTERBOTTENS LÄN</t>
        </is>
      </c>
      <c r="E882" t="inlineStr">
        <is>
          <t>BJURHOLM</t>
        </is>
      </c>
      <c r="G882" t="n">
        <v>1.1</v>
      </c>
      <c r="H882" t="n">
        <v>2</v>
      </c>
      <c r="I882" t="n">
        <v>0</v>
      </c>
      <c r="J882" t="n">
        <v>1</v>
      </c>
      <c r="K882" t="n">
        <v>0</v>
      </c>
      <c r="L882" t="n">
        <v>0</v>
      </c>
      <c r="M882" t="n">
        <v>0</v>
      </c>
      <c r="N882" t="n">
        <v>0</v>
      </c>
      <c r="O882" t="n">
        <v>1</v>
      </c>
      <c r="P882" t="n">
        <v>0</v>
      </c>
      <c r="Q882" t="n">
        <v>2</v>
      </c>
      <c r="R882" s="2" t="inlineStr">
        <is>
          <t>Nordfladdermus
Vattenfladdermus</t>
        </is>
      </c>
      <c r="S882">
        <f>HYPERLINK("https://klasma.github.io/Logging_2403/artfynd/A 61585-2020 artfynd.xlsx", "A 61585-2020")</f>
        <v/>
      </c>
      <c r="T882">
        <f>HYPERLINK("https://klasma.github.io/Logging_2403/kartor/A 61585-2020 karta.png", "A 61585-2020")</f>
        <v/>
      </c>
      <c r="V882">
        <f>HYPERLINK("https://klasma.github.io/Logging_2403/klagomål/A 61585-2020 FSC-klagomål.docx", "A 61585-2020")</f>
        <v/>
      </c>
      <c r="W882">
        <f>HYPERLINK("https://klasma.github.io/Logging_2403/klagomålsmail/A 61585-2020 FSC-klagomål mail.docx", "A 61585-2020")</f>
        <v/>
      </c>
      <c r="X882">
        <f>HYPERLINK("https://klasma.github.io/Logging_2403/tillsyn/A 61585-2020 tillsynsbegäran.docx", "A 61585-2020")</f>
        <v/>
      </c>
      <c r="Y882">
        <f>HYPERLINK("https://klasma.github.io/Logging_2403/tillsynsmail/A 61585-2020 tillsynsbegäran mail.docx", "A 61585-2020")</f>
        <v/>
      </c>
    </row>
    <row r="883" ht="15" customHeight="1">
      <c r="A883" t="inlineStr">
        <is>
          <t>A 63236-2020</t>
        </is>
      </c>
      <c r="B883" s="1" t="n">
        <v>44163</v>
      </c>
      <c r="C883" s="1" t="n">
        <v>45788</v>
      </c>
      <c r="D883" t="inlineStr">
        <is>
          <t>VÄSTERBOTTENS LÄN</t>
        </is>
      </c>
      <c r="E883" t="inlineStr">
        <is>
          <t>ROBERTSFORS</t>
        </is>
      </c>
      <c r="F883" t="inlineStr">
        <is>
          <t>Sveaskog</t>
        </is>
      </c>
      <c r="G883" t="n">
        <v>0.7</v>
      </c>
      <c r="H883" t="n">
        <v>0</v>
      </c>
      <c r="I883" t="n">
        <v>0</v>
      </c>
      <c r="J883" t="n">
        <v>2</v>
      </c>
      <c r="K883" t="n">
        <v>0</v>
      </c>
      <c r="L883" t="n">
        <v>0</v>
      </c>
      <c r="M883" t="n">
        <v>0</v>
      </c>
      <c r="N883" t="n">
        <v>0</v>
      </c>
      <c r="O883" t="n">
        <v>2</v>
      </c>
      <c r="P883" t="n">
        <v>0</v>
      </c>
      <c r="Q883" t="n">
        <v>2</v>
      </c>
      <c r="R883" s="2" t="inlineStr">
        <is>
          <t>Gammelgransskål
Garnlav</t>
        </is>
      </c>
      <c r="S883">
        <f>HYPERLINK("https://klasma.github.io/Logging_2409/artfynd/A 63236-2020 artfynd.xlsx", "A 63236-2020")</f>
        <v/>
      </c>
      <c r="T883">
        <f>HYPERLINK("https://klasma.github.io/Logging_2409/kartor/A 63236-2020 karta.png", "A 63236-2020")</f>
        <v/>
      </c>
      <c r="V883">
        <f>HYPERLINK("https://klasma.github.io/Logging_2409/klagomål/A 63236-2020 FSC-klagomål.docx", "A 63236-2020")</f>
        <v/>
      </c>
      <c r="W883">
        <f>HYPERLINK("https://klasma.github.io/Logging_2409/klagomålsmail/A 63236-2020 FSC-klagomål mail.docx", "A 63236-2020")</f>
        <v/>
      </c>
      <c r="X883">
        <f>HYPERLINK("https://klasma.github.io/Logging_2409/tillsyn/A 63236-2020 tillsynsbegäran.docx", "A 63236-2020")</f>
        <v/>
      </c>
      <c r="Y883">
        <f>HYPERLINK("https://klasma.github.io/Logging_2409/tillsynsmail/A 63236-2020 tillsynsbegäran mail.docx", "A 63236-2020")</f>
        <v/>
      </c>
    </row>
    <row r="884" ht="15" customHeight="1">
      <c r="A884" t="inlineStr">
        <is>
          <t>A 64203-2020</t>
        </is>
      </c>
      <c r="B884" s="1" t="n">
        <v>44167</v>
      </c>
      <c r="C884" s="1" t="n">
        <v>45788</v>
      </c>
      <c r="D884" t="inlineStr">
        <is>
          <t>VÄSTERBOTTENS LÄN</t>
        </is>
      </c>
      <c r="E884" t="inlineStr">
        <is>
          <t>SKELLEFTEÅ</t>
        </is>
      </c>
      <c r="G884" t="n">
        <v>9.800000000000001</v>
      </c>
      <c r="H884" t="n">
        <v>2</v>
      </c>
      <c r="I884" t="n">
        <v>0</v>
      </c>
      <c r="J884" t="n">
        <v>0</v>
      </c>
      <c r="K884" t="n">
        <v>0</v>
      </c>
      <c r="L884" t="n">
        <v>0</v>
      </c>
      <c r="M884" t="n">
        <v>0</v>
      </c>
      <c r="N884" t="n">
        <v>0</v>
      </c>
      <c r="O884" t="n">
        <v>0</v>
      </c>
      <c r="P884" t="n">
        <v>0</v>
      </c>
      <c r="Q884" t="n">
        <v>2</v>
      </c>
      <c r="R884" s="2" t="inlineStr">
        <is>
          <t>Brudsporre
Fläcknycklar</t>
        </is>
      </c>
      <c r="S884">
        <f>HYPERLINK("https://klasma.github.io/Logging_2482/artfynd/A 64203-2020 artfynd.xlsx", "A 64203-2020")</f>
        <v/>
      </c>
      <c r="T884">
        <f>HYPERLINK("https://klasma.github.io/Logging_2482/kartor/A 64203-2020 karta.png", "A 64203-2020")</f>
        <v/>
      </c>
      <c r="V884">
        <f>HYPERLINK("https://klasma.github.io/Logging_2482/klagomål/A 64203-2020 FSC-klagomål.docx", "A 64203-2020")</f>
        <v/>
      </c>
      <c r="W884">
        <f>HYPERLINK("https://klasma.github.io/Logging_2482/klagomålsmail/A 64203-2020 FSC-klagomål mail.docx", "A 64203-2020")</f>
        <v/>
      </c>
      <c r="X884">
        <f>HYPERLINK("https://klasma.github.io/Logging_2482/tillsyn/A 64203-2020 tillsynsbegäran.docx", "A 64203-2020")</f>
        <v/>
      </c>
      <c r="Y884">
        <f>HYPERLINK("https://klasma.github.io/Logging_2482/tillsynsmail/A 64203-2020 tillsynsbegäran mail.docx", "A 64203-2020")</f>
        <v/>
      </c>
    </row>
    <row r="885" ht="15" customHeight="1">
      <c r="A885" t="inlineStr">
        <is>
          <t>A 68827-2020</t>
        </is>
      </c>
      <c r="B885" s="1" t="n">
        <v>44187</v>
      </c>
      <c r="C885" s="1" t="n">
        <v>45788</v>
      </c>
      <c r="D885" t="inlineStr">
        <is>
          <t>VÄSTERBOTTENS LÄN</t>
        </is>
      </c>
      <c r="E885" t="inlineStr">
        <is>
          <t>STORUMAN</t>
        </is>
      </c>
      <c r="G885" t="n">
        <v>5.1</v>
      </c>
      <c r="H885" t="n">
        <v>0</v>
      </c>
      <c r="I885" t="n">
        <v>0</v>
      </c>
      <c r="J885" t="n">
        <v>2</v>
      </c>
      <c r="K885" t="n">
        <v>0</v>
      </c>
      <c r="L885" t="n">
        <v>0</v>
      </c>
      <c r="M885" t="n">
        <v>0</v>
      </c>
      <c r="N885" t="n">
        <v>0</v>
      </c>
      <c r="O885" t="n">
        <v>2</v>
      </c>
      <c r="P885" t="n">
        <v>0</v>
      </c>
      <c r="Q885" t="n">
        <v>2</v>
      </c>
      <c r="R885" s="2" t="inlineStr">
        <is>
          <t>Garnlav
Lunglav</t>
        </is>
      </c>
      <c r="S885">
        <f>HYPERLINK("https://klasma.github.io/Logging_2421/artfynd/A 68827-2020 artfynd.xlsx", "A 68827-2020")</f>
        <v/>
      </c>
      <c r="T885">
        <f>HYPERLINK("https://klasma.github.io/Logging_2421/kartor/A 68827-2020 karta.png", "A 68827-2020")</f>
        <v/>
      </c>
      <c r="V885">
        <f>HYPERLINK("https://klasma.github.io/Logging_2421/klagomål/A 68827-2020 FSC-klagomål.docx", "A 68827-2020")</f>
        <v/>
      </c>
      <c r="W885">
        <f>HYPERLINK("https://klasma.github.io/Logging_2421/klagomålsmail/A 68827-2020 FSC-klagomål mail.docx", "A 68827-2020")</f>
        <v/>
      </c>
      <c r="X885">
        <f>HYPERLINK("https://klasma.github.io/Logging_2421/tillsyn/A 68827-2020 tillsynsbegäran.docx", "A 68827-2020")</f>
        <v/>
      </c>
      <c r="Y885">
        <f>HYPERLINK("https://klasma.github.io/Logging_2421/tillsynsmail/A 68827-2020 tillsynsbegäran mail.docx", "A 68827-2020")</f>
        <v/>
      </c>
    </row>
    <row r="886" ht="15" customHeight="1">
      <c r="A886" t="inlineStr">
        <is>
          <t>A 69626-2020</t>
        </is>
      </c>
      <c r="B886" s="1" t="n">
        <v>44195</v>
      </c>
      <c r="C886" s="1" t="n">
        <v>45788</v>
      </c>
      <c r="D886" t="inlineStr">
        <is>
          <t>VÄSTERBOTTENS LÄN</t>
        </is>
      </c>
      <c r="E886" t="inlineStr">
        <is>
          <t>VILHELMINA</t>
        </is>
      </c>
      <c r="G886" t="n">
        <v>10.2</v>
      </c>
      <c r="H886" t="n">
        <v>2</v>
      </c>
      <c r="I886" t="n">
        <v>0</v>
      </c>
      <c r="J886" t="n">
        <v>2</v>
      </c>
      <c r="K886" t="n">
        <v>0</v>
      </c>
      <c r="L886" t="n">
        <v>0</v>
      </c>
      <c r="M886" t="n">
        <v>0</v>
      </c>
      <c r="N886" t="n">
        <v>0</v>
      </c>
      <c r="O886" t="n">
        <v>2</v>
      </c>
      <c r="P886" t="n">
        <v>0</v>
      </c>
      <c r="Q886" t="n">
        <v>2</v>
      </c>
      <c r="R886" s="2" t="inlineStr">
        <is>
          <t>Duvhök
Tretåig hackspett</t>
        </is>
      </c>
      <c r="S886">
        <f>HYPERLINK("https://klasma.github.io/Logging_2462/artfynd/A 69626-2020 artfynd.xlsx", "A 69626-2020")</f>
        <v/>
      </c>
      <c r="T886">
        <f>HYPERLINK("https://klasma.github.io/Logging_2462/kartor/A 69626-2020 karta.png", "A 69626-2020")</f>
        <v/>
      </c>
      <c r="V886">
        <f>HYPERLINK("https://klasma.github.io/Logging_2462/klagomål/A 69626-2020 FSC-klagomål.docx", "A 69626-2020")</f>
        <v/>
      </c>
      <c r="W886">
        <f>HYPERLINK("https://klasma.github.io/Logging_2462/klagomålsmail/A 69626-2020 FSC-klagomål mail.docx", "A 69626-2020")</f>
        <v/>
      </c>
      <c r="X886">
        <f>HYPERLINK("https://klasma.github.io/Logging_2462/tillsyn/A 69626-2020 tillsynsbegäran.docx", "A 69626-2020")</f>
        <v/>
      </c>
      <c r="Y886">
        <f>HYPERLINK("https://klasma.github.io/Logging_2462/tillsynsmail/A 69626-2020 tillsynsbegäran mail.docx", "A 69626-2020")</f>
        <v/>
      </c>
      <c r="Z886">
        <f>HYPERLINK("https://klasma.github.io/Logging_2462/fåglar/A 69626-2020 prioriterade fågelarter.docx", "A 69626-2020")</f>
        <v/>
      </c>
    </row>
    <row r="887" ht="15" customHeight="1">
      <c r="A887" t="inlineStr">
        <is>
          <t>A 1148-2021</t>
        </is>
      </c>
      <c r="B887" s="1" t="n">
        <v>44207</v>
      </c>
      <c r="C887" s="1" t="n">
        <v>45788</v>
      </c>
      <c r="D887" t="inlineStr">
        <is>
          <t>VÄSTERBOTTENS LÄN</t>
        </is>
      </c>
      <c r="E887" t="inlineStr">
        <is>
          <t>NORDMALING</t>
        </is>
      </c>
      <c r="G887" t="n">
        <v>6.8</v>
      </c>
      <c r="H887" t="n">
        <v>1</v>
      </c>
      <c r="I887" t="n">
        <v>0</v>
      </c>
      <c r="J887" t="n">
        <v>2</v>
      </c>
      <c r="K887" t="n">
        <v>0</v>
      </c>
      <c r="L887" t="n">
        <v>0</v>
      </c>
      <c r="M887" t="n">
        <v>0</v>
      </c>
      <c r="N887" t="n">
        <v>0</v>
      </c>
      <c r="O887" t="n">
        <v>2</v>
      </c>
      <c r="P887" t="n">
        <v>0</v>
      </c>
      <c r="Q887" t="n">
        <v>2</v>
      </c>
      <c r="R887" s="2" t="inlineStr">
        <is>
          <t>Spillkråka
Violettgrå tagellav</t>
        </is>
      </c>
      <c r="S887">
        <f>HYPERLINK("https://klasma.github.io/Logging_2401/artfynd/A 1148-2021 artfynd.xlsx", "A 1148-2021")</f>
        <v/>
      </c>
      <c r="T887">
        <f>HYPERLINK("https://klasma.github.io/Logging_2401/kartor/A 1148-2021 karta.png", "A 1148-2021")</f>
        <v/>
      </c>
      <c r="V887">
        <f>HYPERLINK("https://klasma.github.io/Logging_2401/klagomål/A 1148-2021 FSC-klagomål.docx", "A 1148-2021")</f>
        <v/>
      </c>
      <c r="W887">
        <f>HYPERLINK("https://klasma.github.io/Logging_2401/klagomålsmail/A 1148-2021 FSC-klagomål mail.docx", "A 1148-2021")</f>
        <v/>
      </c>
      <c r="X887">
        <f>HYPERLINK("https://klasma.github.io/Logging_2401/tillsyn/A 1148-2021 tillsynsbegäran.docx", "A 1148-2021")</f>
        <v/>
      </c>
      <c r="Y887">
        <f>HYPERLINK("https://klasma.github.io/Logging_2401/tillsynsmail/A 1148-2021 tillsynsbegäran mail.docx", "A 1148-2021")</f>
        <v/>
      </c>
      <c r="Z887">
        <f>HYPERLINK("https://klasma.github.io/Logging_2401/fåglar/A 1148-2021 prioriterade fågelarter.docx", "A 1148-2021")</f>
        <v/>
      </c>
    </row>
    <row r="888" ht="15" customHeight="1">
      <c r="A888" t="inlineStr">
        <is>
          <t>A 6704-2021</t>
        </is>
      </c>
      <c r="B888" s="1" t="n">
        <v>44235</v>
      </c>
      <c r="C888" s="1" t="n">
        <v>45788</v>
      </c>
      <c r="D888" t="inlineStr">
        <is>
          <t>VÄSTERBOTTENS LÄN</t>
        </is>
      </c>
      <c r="E888" t="inlineStr">
        <is>
          <t>VILHELMINA</t>
        </is>
      </c>
      <c r="G888" t="n">
        <v>14.5</v>
      </c>
      <c r="H888" t="n">
        <v>1</v>
      </c>
      <c r="I888" t="n">
        <v>1</v>
      </c>
      <c r="J888" t="n">
        <v>1</v>
      </c>
      <c r="K888" t="n">
        <v>0</v>
      </c>
      <c r="L888" t="n">
        <v>0</v>
      </c>
      <c r="M888" t="n">
        <v>0</v>
      </c>
      <c r="N888" t="n">
        <v>0</v>
      </c>
      <c r="O888" t="n">
        <v>1</v>
      </c>
      <c r="P888" t="n">
        <v>0</v>
      </c>
      <c r="Q888" t="n">
        <v>2</v>
      </c>
      <c r="R888" s="2" t="inlineStr">
        <is>
          <t>Tretåig hackspett
Trådticka</t>
        </is>
      </c>
      <c r="S888">
        <f>HYPERLINK("https://klasma.github.io/Logging_2462/artfynd/A 6704-2021 artfynd.xlsx", "A 6704-2021")</f>
        <v/>
      </c>
      <c r="T888">
        <f>HYPERLINK("https://klasma.github.io/Logging_2462/kartor/A 6704-2021 karta.png", "A 6704-2021")</f>
        <v/>
      </c>
      <c r="V888">
        <f>HYPERLINK("https://klasma.github.io/Logging_2462/klagomål/A 6704-2021 FSC-klagomål.docx", "A 6704-2021")</f>
        <v/>
      </c>
      <c r="W888">
        <f>HYPERLINK("https://klasma.github.io/Logging_2462/klagomålsmail/A 6704-2021 FSC-klagomål mail.docx", "A 6704-2021")</f>
        <v/>
      </c>
      <c r="X888">
        <f>HYPERLINK("https://klasma.github.io/Logging_2462/tillsyn/A 6704-2021 tillsynsbegäran.docx", "A 6704-2021")</f>
        <v/>
      </c>
      <c r="Y888">
        <f>HYPERLINK("https://klasma.github.io/Logging_2462/tillsynsmail/A 6704-2021 tillsynsbegäran mail.docx", "A 6704-2021")</f>
        <v/>
      </c>
      <c r="Z888">
        <f>HYPERLINK("https://klasma.github.io/Logging_2462/fåglar/A 6704-2021 prioriterade fågelarter.docx", "A 6704-2021")</f>
        <v/>
      </c>
    </row>
    <row r="889" ht="15" customHeight="1">
      <c r="A889" t="inlineStr">
        <is>
          <t>A 11980-2021</t>
        </is>
      </c>
      <c r="B889" s="1" t="n">
        <v>44266</v>
      </c>
      <c r="C889" s="1" t="n">
        <v>45788</v>
      </c>
      <c r="D889" t="inlineStr">
        <is>
          <t>VÄSTERBOTTENS LÄN</t>
        </is>
      </c>
      <c r="E889" t="inlineStr">
        <is>
          <t>VILHELMINA</t>
        </is>
      </c>
      <c r="F889" t="inlineStr">
        <is>
          <t>Allmännings- och besparingsskogar</t>
        </is>
      </c>
      <c r="G889" t="n">
        <v>4.1</v>
      </c>
      <c r="H889" t="n">
        <v>0</v>
      </c>
      <c r="I889" t="n">
        <v>1</v>
      </c>
      <c r="J889" t="n">
        <v>1</v>
      </c>
      <c r="K889" t="n">
        <v>0</v>
      </c>
      <c r="L889" t="n">
        <v>0</v>
      </c>
      <c r="M889" t="n">
        <v>0</v>
      </c>
      <c r="N889" t="n">
        <v>0</v>
      </c>
      <c r="O889" t="n">
        <v>1</v>
      </c>
      <c r="P889" t="n">
        <v>0</v>
      </c>
      <c r="Q889" t="n">
        <v>2</v>
      </c>
      <c r="R889" s="2" t="inlineStr">
        <is>
          <t>Skrovellav
Stuplav</t>
        </is>
      </c>
      <c r="S889">
        <f>HYPERLINK("https://klasma.github.io/Logging_2462/artfynd/A 11980-2021 artfynd.xlsx", "A 11980-2021")</f>
        <v/>
      </c>
      <c r="T889">
        <f>HYPERLINK("https://klasma.github.io/Logging_2462/kartor/A 11980-2021 karta.png", "A 11980-2021")</f>
        <v/>
      </c>
      <c r="V889">
        <f>HYPERLINK("https://klasma.github.io/Logging_2462/klagomål/A 11980-2021 FSC-klagomål.docx", "A 11980-2021")</f>
        <v/>
      </c>
      <c r="W889">
        <f>HYPERLINK("https://klasma.github.io/Logging_2462/klagomålsmail/A 11980-2021 FSC-klagomål mail.docx", "A 11980-2021")</f>
        <v/>
      </c>
      <c r="X889">
        <f>HYPERLINK("https://klasma.github.io/Logging_2462/tillsyn/A 11980-2021 tillsynsbegäran.docx", "A 11980-2021")</f>
        <v/>
      </c>
      <c r="Y889">
        <f>HYPERLINK("https://klasma.github.io/Logging_2462/tillsynsmail/A 11980-2021 tillsynsbegäran mail.docx", "A 11980-2021")</f>
        <v/>
      </c>
    </row>
    <row r="890" ht="15" customHeight="1">
      <c r="A890" t="inlineStr">
        <is>
          <t>A 12321-2021</t>
        </is>
      </c>
      <c r="B890" s="1" t="n">
        <v>44266</v>
      </c>
      <c r="C890" s="1" t="n">
        <v>45788</v>
      </c>
      <c r="D890" t="inlineStr">
        <is>
          <t>VÄSTERBOTTENS LÄN</t>
        </is>
      </c>
      <c r="E890" t="inlineStr">
        <is>
          <t>STORUMAN</t>
        </is>
      </c>
      <c r="G890" t="n">
        <v>8</v>
      </c>
      <c r="H890" t="n">
        <v>0</v>
      </c>
      <c r="I890" t="n">
        <v>1</v>
      </c>
      <c r="J890" t="n">
        <v>1</v>
      </c>
      <c r="K890" t="n">
        <v>0</v>
      </c>
      <c r="L890" t="n">
        <v>0</v>
      </c>
      <c r="M890" t="n">
        <v>0</v>
      </c>
      <c r="N890" t="n">
        <v>0</v>
      </c>
      <c r="O890" t="n">
        <v>1</v>
      </c>
      <c r="P890" t="n">
        <v>0</v>
      </c>
      <c r="Q890" t="n">
        <v>2</v>
      </c>
      <c r="R890" s="2" t="inlineStr">
        <is>
          <t>Gammelgransskål
Svavelriska</t>
        </is>
      </c>
      <c r="S890">
        <f>HYPERLINK("https://klasma.github.io/Logging_2421/artfynd/A 12321-2021 artfynd.xlsx", "A 12321-2021")</f>
        <v/>
      </c>
      <c r="T890">
        <f>HYPERLINK("https://klasma.github.io/Logging_2421/kartor/A 12321-2021 karta.png", "A 12321-2021")</f>
        <v/>
      </c>
      <c r="V890">
        <f>HYPERLINK("https://klasma.github.io/Logging_2421/klagomål/A 12321-2021 FSC-klagomål.docx", "A 12321-2021")</f>
        <v/>
      </c>
      <c r="W890">
        <f>HYPERLINK("https://klasma.github.io/Logging_2421/klagomålsmail/A 12321-2021 FSC-klagomål mail.docx", "A 12321-2021")</f>
        <v/>
      </c>
      <c r="X890">
        <f>HYPERLINK("https://klasma.github.io/Logging_2421/tillsyn/A 12321-2021 tillsynsbegäran.docx", "A 12321-2021")</f>
        <v/>
      </c>
      <c r="Y890">
        <f>HYPERLINK("https://klasma.github.io/Logging_2421/tillsynsmail/A 12321-2021 tillsynsbegäran mail.docx", "A 12321-2021")</f>
        <v/>
      </c>
    </row>
    <row r="891" ht="15" customHeight="1">
      <c r="A891" t="inlineStr">
        <is>
          <t>A 15662-2021</t>
        </is>
      </c>
      <c r="B891" s="1" t="n">
        <v>44286</v>
      </c>
      <c r="C891" s="1" t="n">
        <v>45788</v>
      </c>
      <c r="D891" t="inlineStr">
        <is>
          <t>VÄSTERBOTTENS LÄN</t>
        </is>
      </c>
      <c r="E891" t="inlineStr">
        <is>
          <t>LYCKSELE</t>
        </is>
      </c>
      <c r="F891" t="inlineStr">
        <is>
          <t>Sveaskog</t>
        </is>
      </c>
      <c r="G891" t="n">
        <v>3.4</v>
      </c>
      <c r="H891" t="n">
        <v>0</v>
      </c>
      <c r="I891" t="n">
        <v>0</v>
      </c>
      <c r="J891" t="n">
        <v>2</v>
      </c>
      <c r="K891" t="n">
        <v>0</v>
      </c>
      <c r="L891" t="n">
        <v>0</v>
      </c>
      <c r="M891" t="n">
        <v>0</v>
      </c>
      <c r="N891" t="n">
        <v>0</v>
      </c>
      <c r="O891" t="n">
        <v>2</v>
      </c>
      <c r="P891" t="n">
        <v>0</v>
      </c>
      <c r="Q891" t="n">
        <v>2</v>
      </c>
      <c r="R891" s="2" t="inlineStr">
        <is>
          <t>Lunglav
Reliktbock</t>
        </is>
      </c>
      <c r="S891">
        <f>HYPERLINK("https://klasma.github.io/Logging_2481/artfynd/A 15662-2021 artfynd.xlsx", "A 15662-2021")</f>
        <v/>
      </c>
      <c r="T891">
        <f>HYPERLINK("https://klasma.github.io/Logging_2481/kartor/A 15662-2021 karta.png", "A 15662-2021")</f>
        <v/>
      </c>
      <c r="V891">
        <f>HYPERLINK("https://klasma.github.io/Logging_2481/klagomål/A 15662-2021 FSC-klagomål.docx", "A 15662-2021")</f>
        <v/>
      </c>
      <c r="W891">
        <f>HYPERLINK("https://klasma.github.io/Logging_2481/klagomålsmail/A 15662-2021 FSC-klagomål mail.docx", "A 15662-2021")</f>
        <v/>
      </c>
      <c r="X891">
        <f>HYPERLINK("https://klasma.github.io/Logging_2481/tillsyn/A 15662-2021 tillsynsbegäran.docx", "A 15662-2021")</f>
        <v/>
      </c>
      <c r="Y891">
        <f>HYPERLINK("https://klasma.github.io/Logging_2481/tillsynsmail/A 15662-2021 tillsynsbegäran mail.docx", "A 15662-2021")</f>
        <v/>
      </c>
    </row>
    <row r="892" ht="15" customHeight="1">
      <c r="A892" t="inlineStr">
        <is>
          <t>A 19234-2021</t>
        </is>
      </c>
      <c r="B892" s="1" t="n">
        <v>44309</v>
      </c>
      <c r="C892" s="1" t="n">
        <v>45788</v>
      </c>
      <c r="D892" t="inlineStr">
        <is>
          <t>VÄSTERBOTTENS LÄN</t>
        </is>
      </c>
      <c r="E892" t="inlineStr">
        <is>
          <t>VILHELMINA</t>
        </is>
      </c>
      <c r="F892" t="inlineStr">
        <is>
          <t>Övriga Aktiebolag</t>
        </is>
      </c>
      <c r="G892" t="n">
        <v>12</v>
      </c>
      <c r="H892" t="n">
        <v>0</v>
      </c>
      <c r="I892" t="n">
        <v>0</v>
      </c>
      <c r="J892" t="n">
        <v>2</v>
      </c>
      <c r="K892" t="n">
        <v>0</v>
      </c>
      <c r="L892" t="n">
        <v>0</v>
      </c>
      <c r="M892" t="n">
        <v>0</v>
      </c>
      <c r="N892" t="n">
        <v>0</v>
      </c>
      <c r="O892" t="n">
        <v>2</v>
      </c>
      <c r="P892" t="n">
        <v>0</v>
      </c>
      <c r="Q892" t="n">
        <v>2</v>
      </c>
      <c r="R892" s="2" t="inlineStr">
        <is>
          <t>Granticka
Harticka</t>
        </is>
      </c>
      <c r="S892">
        <f>HYPERLINK("https://klasma.github.io/Logging_2462/artfynd/A 19234-2021 artfynd.xlsx", "A 19234-2021")</f>
        <v/>
      </c>
      <c r="T892">
        <f>HYPERLINK("https://klasma.github.io/Logging_2462/kartor/A 19234-2021 karta.png", "A 19234-2021")</f>
        <v/>
      </c>
      <c r="V892">
        <f>HYPERLINK("https://klasma.github.io/Logging_2462/klagomål/A 19234-2021 FSC-klagomål.docx", "A 19234-2021")</f>
        <v/>
      </c>
      <c r="W892">
        <f>HYPERLINK("https://klasma.github.io/Logging_2462/klagomålsmail/A 19234-2021 FSC-klagomål mail.docx", "A 19234-2021")</f>
        <v/>
      </c>
      <c r="X892">
        <f>HYPERLINK("https://klasma.github.io/Logging_2462/tillsyn/A 19234-2021 tillsynsbegäran.docx", "A 19234-2021")</f>
        <v/>
      </c>
      <c r="Y892">
        <f>HYPERLINK("https://klasma.github.io/Logging_2462/tillsynsmail/A 19234-2021 tillsynsbegäran mail.docx", "A 19234-2021")</f>
        <v/>
      </c>
    </row>
    <row r="893" ht="15" customHeight="1">
      <c r="A893" t="inlineStr">
        <is>
          <t>A 29352-2021</t>
        </is>
      </c>
      <c r="B893" s="1" t="n">
        <v>44361</v>
      </c>
      <c r="C893" s="1" t="n">
        <v>45788</v>
      </c>
      <c r="D893" t="inlineStr">
        <is>
          <t>VÄSTERBOTTENS LÄN</t>
        </is>
      </c>
      <c r="E893" t="inlineStr">
        <is>
          <t>STORUMAN</t>
        </is>
      </c>
      <c r="F893" t="inlineStr">
        <is>
          <t>Sveaskog</t>
        </is>
      </c>
      <c r="G893" t="n">
        <v>5.4</v>
      </c>
      <c r="H893" t="n">
        <v>0</v>
      </c>
      <c r="I893" t="n">
        <v>1</v>
      </c>
      <c r="J893" t="n">
        <v>1</v>
      </c>
      <c r="K893" t="n">
        <v>0</v>
      </c>
      <c r="L893" t="n">
        <v>0</v>
      </c>
      <c r="M893" t="n">
        <v>0</v>
      </c>
      <c r="N893" t="n">
        <v>0</v>
      </c>
      <c r="O893" t="n">
        <v>1</v>
      </c>
      <c r="P893" t="n">
        <v>0</v>
      </c>
      <c r="Q893" t="n">
        <v>2</v>
      </c>
      <c r="R893" s="2" t="inlineStr">
        <is>
          <t>Lunglav
Stuplav</t>
        </is>
      </c>
      <c r="S893">
        <f>HYPERLINK("https://klasma.github.io/Logging_2421/artfynd/A 29352-2021 artfynd.xlsx", "A 29352-2021")</f>
        <v/>
      </c>
      <c r="T893">
        <f>HYPERLINK("https://klasma.github.io/Logging_2421/kartor/A 29352-2021 karta.png", "A 29352-2021")</f>
        <v/>
      </c>
      <c r="V893">
        <f>HYPERLINK("https://klasma.github.io/Logging_2421/klagomål/A 29352-2021 FSC-klagomål.docx", "A 29352-2021")</f>
        <v/>
      </c>
      <c r="W893">
        <f>HYPERLINK("https://klasma.github.io/Logging_2421/klagomålsmail/A 29352-2021 FSC-klagomål mail.docx", "A 29352-2021")</f>
        <v/>
      </c>
      <c r="X893">
        <f>HYPERLINK("https://klasma.github.io/Logging_2421/tillsyn/A 29352-2021 tillsynsbegäran.docx", "A 29352-2021")</f>
        <v/>
      </c>
      <c r="Y893">
        <f>HYPERLINK("https://klasma.github.io/Logging_2421/tillsynsmail/A 29352-2021 tillsynsbegäran mail.docx", "A 29352-2021")</f>
        <v/>
      </c>
    </row>
    <row r="894" ht="15" customHeight="1">
      <c r="A894" t="inlineStr">
        <is>
          <t>A 35297-2021</t>
        </is>
      </c>
      <c r="B894" s="1" t="n">
        <v>44384</v>
      </c>
      <c r="C894" s="1" t="n">
        <v>45788</v>
      </c>
      <c r="D894" t="inlineStr">
        <is>
          <t>VÄSTERBOTTENS LÄN</t>
        </is>
      </c>
      <c r="E894" t="inlineStr">
        <is>
          <t>UMEÅ</t>
        </is>
      </c>
      <c r="G894" t="n">
        <v>8</v>
      </c>
      <c r="H894" t="n">
        <v>0</v>
      </c>
      <c r="I894" t="n">
        <v>1</v>
      </c>
      <c r="J894" t="n">
        <v>0</v>
      </c>
      <c r="K894" t="n">
        <v>1</v>
      </c>
      <c r="L894" t="n">
        <v>0</v>
      </c>
      <c r="M894" t="n">
        <v>0</v>
      </c>
      <c r="N894" t="n">
        <v>0</v>
      </c>
      <c r="O894" t="n">
        <v>1</v>
      </c>
      <c r="P894" t="n">
        <v>1</v>
      </c>
      <c r="Q894" t="n">
        <v>2</v>
      </c>
      <c r="R894" s="2" t="inlineStr">
        <is>
          <t>Aspgelélav
Stuplav</t>
        </is>
      </c>
      <c r="S894">
        <f>HYPERLINK("https://klasma.github.io/Logging_2480/artfynd/A 35297-2021 artfynd.xlsx", "A 35297-2021")</f>
        <v/>
      </c>
      <c r="T894">
        <f>HYPERLINK("https://klasma.github.io/Logging_2480/kartor/A 35297-2021 karta.png", "A 35297-2021")</f>
        <v/>
      </c>
      <c r="V894">
        <f>HYPERLINK("https://klasma.github.io/Logging_2480/klagomål/A 35297-2021 FSC-klagomål.docx", "A 35297-2021")</f>
        <v/>
      </c>
      <c r="W894">
        <f>HYPERLINK("https://klasma.github.io/Logging_2480/klagomålsmail/A 35297-2021 FSC-klagomål mail.docx", "A 35297-2021")</f>
        <v/>
      </c>
      <c r="X894">
        <f>HYPERLINK("https://klasma.github.io/Logging_2480/tillsyn/A 35297-2021 tillsynsbegäran.docx", "A 35297-2021")</f>
        <v/>
      </c>
      <c r="Y894">
        <f>HYPERLINK("https://klasma.github.io/Logging_2480/tillsynsmail/A 35297-2021 tillsynsbegäran mail.docx", "A 35297-2021")</f>
        <v/>
      </c>
    </row>
    <row r="895" ht="15" customHeight="1">
      <c r="A895" t="inlineStr">
        <is>
          <t>A 35733-2021</t>
        </is>
      </c>
      <c r="B895" s="1" t="n">
        <v>44385</v>
      </c>
      <c r="C895" s="1" t="n">
        <v>45788</v>
      </c>
      <c r="D895" t="inlineStr">
        <is>
          <t>VÄSTERBOTTENS LÄN</t>
        </is>
      </c>
      <c r="E895" t="inlineStr">
        <is>
          <t>SKELLEFTEÅ</t>
        </is>
      </c>
      <c r="G895" t="n">
        <v>0.9</v>
      </c>
      <c r="H895" t="n">
        <v>2</v>
      </c>
      <c r="I895" t="n">
        <v>0</v>
      </c>
      <c r="J895" t="n">
        <v>1</v>
      </c>
      <c r="K895" t="n">
        <v>0</v>
      </c>
      <c r="L895" t="n">
        <v>0</v>
      </c>
      <c r="M895" t="n">
        <v>0</v>
      </c>
      <c r="N895" t="n">
        <v>0</v>
      </c>
      <c r="O895" t="n">
        <v>1</v>
      </c>
      <c r="P895" t="n">
        <v>0</v>
      </c>
      <c r="Q895" t="n">
        <v>2</v>
      </c>
      <c r="R895" s="2" t="inlineStr">
        <is>
          <t>Spillkråka
Tjäder</t>
        </is>
      </c>
      <c r="S895">
        <f>HYPERLINK("https://klasma.github.io/Logging_2482/artfynd/A 35733-2021 artfynd.xlsx", "A 35733-2021")</f>
        <v/>
      </c>
      <c r="T895">
        <f>HYPERLINK("https://klasma.github.io/Logging_2482/kartor/A 35733-2021 karta.png", "A 35733-2021")</f>
        <v/>
      </c>
      <c r="V895">
        <f>HYPERLINK("https://klasma.github.io/Logging_2482/klagomål/A 35733-2021 FSC-klagomål.docx", "A 35733-2021")</f>
        <v/>
      </c>
      <c r="W895">
        <f>HYPERLINK("https://klasma.github.io/Logging_2482/klagomålsmail/A 35733-2021 FSC-klagomål mail.docx", "A 35733-2021")</f>
        <v/>
      </c>
      <c r="X895">
        <f>HYPERLINK("https://klasma.github.io/Logging_2482/tillsyn/A 35733-2021 tillsynsbegäran.docx", "A 35733-2021")</f>
        <v/>
      </c>
      <c r="Y895">
        <f>HYPERLINK("https://klasma.github.io/Logging_2482/tillsynsmail/A 35733-2021 tillsynsbegäran mail.docx", "A 35733-2021")</f>
        <v/>
      </c>
      <c r="Z895">
        <f>HYPERLINK("https://klasma.github.io/Logging_2482/fåglar/A 35733-2021 prioriterade fågelarter.docx", "A 35733-2021")</f>
        <v/>
      </c>
    </row>
    <row r="896" ht="15" customHeight="1">
      <c r="A896" t="inlineStr">
        <is>
          <t>A 35585-2021</t>
        </is>
      </c>
      <c r="B896" s="1" t="n">
        <v>44386</v>
      </c>
      <c r="C896" s="1" t="n">
        <v>45788</v>
      </c>
      <c r="D896" t="inlineStr">
        <is>
          <t>VÄSTERBOTTENS LÄN</t>
        </is>
      </c>
      <c r="E896" t="inlineStr">
        <is>
          <t>SKELLEFTEÅ</t>
        </is>
      </c>
      <c r="F896" t="inlineStr">
        <is>
          <t>Holmen skog AB</t>
        </is>
      </c>
      <c r="G896" t="n">
        <v>8.4</v>
      </c>
      <c r="H896" t="n">
        <v>0</v>
      </c>
      <c r="I896" t="n">
        <v>0</v>
      </c>
      <c r="J896" t="n">
        <v>2</v>
      </c>
      <c r="K896" t="n">
        <v>0</v>
      </c>
      <c r="L896" t="n">
        <v>0</v>
      </c>
      <c r="M896" t="n">
        <v>0</v>
      </c>
      <c r="N896" t="n">
        <v>0</v>
      </c>
      <c r="O896" t="n">
        <v>2</v>
      </c>
      <c r="P896" t="n">
        <v>0</v>
      </c>
      <c r="Q896" t="n">
        <v>2</v>
      </c>
      <c r="R896" s="2" t="inlineStr">
        <is>
          <t>Garnlav
Ullticka</t>
        </is>
      </c>
      <c r="S896">
        <f>HYPERLINK("https://klasma.github.io/Logging_2482/artfynd/A 35585-2021 artfynd.xlsx", "A 35585-2021")</f>
        <v/>
      </c>
      <c r="T896">
        <f>HYPERLINK("https://klasma.github.io/Logging_2482/kartor/A 35585-2021 karta.png", "A 35585-2021")</f>
        <v/>
      </c>
      <c r="V896">
        <f>HYPERLINK("https://klasma.github.io/Logging_2482/klagomål/A 35585-2021 FSC-klagomål.docx", "A 35585-2021")</f>
        <v/>
      </c>
      <c r="W896">
        <f>HYPERLINK("https://klasma.github.io/Logging_2482/klagomålsmail/A 35585-2021 FSC-klagomål mail.docx", "A 35585-2021")</f>
        <v/>
      </c>
      <c r="X896">
        <f>HYPERLINK("https://klasma.github.io/Logging_2482/tillsyn/A 35585-2021 tillsynsbegäran.docx", "A 35585-2021")</f>
        <v/>
      </c>
      <c r="Y896">
        <f>HYPERLINK("https://klasma.github.io/Logging_2482/tillsynsmail/A 35585-2021 tillsynsbegäran mail.docx", "A 35585-2021")</f>
        <v/>
      </c>
    </row>
    <row r="897" ht="15" customHeight="1">
      <c r="A897" t="inlineStr">
        <is>
          <t>A 37785-2021</t>
        </is>
      </c>
      <c r="B897" s="1" t="n">
        <v>44401</v>
      </c>
      <c r="C897" s="1" t="n">
        <v>45788</v>
      </c>
      <c r="D897" t="inlineStr">
        <is>
          <t>VÄSTERBOTTENS LÄN</t>
        </is>
      </c>
      <c r="E897" t="inlineStr">
        <is>
          <t>VILHELMINA</t>
        </is>
      </c>
      <c r="G897" t="n">
        <v>51.5</v>
      </c>
      <c r="H897" t="n">
        <v>1</v>
      </c>
      <c r="I897" t="n">
        <v>0</v>
      </c>
      <c r="J897" t="n">
        <v>1</v>
      </c>
      <c r="K897" t="n">
        <v>0</v>
      </c>
      <c r="L897" t="n">
        <v>0</v>
      </c>
      <c r="M897" t="n">
        <v>0</v>
      </c>
      <c r="N897" t="n">
        <v>0</v>
      </c>
      <c r="O897" t="n">
        <v>1</v>
      </c>
      <c r="P897" t="n">
        <v>0</v>
      </c>
      <c r="Q897" t="n">
        <v>2</v>
      </c>
      <c r="R897" s="2" t="inlineStr">
        <is>
          <t>Ullticka
Fläcknycklar</t>
        </is>
      </c>
      <c r="S897">
        <f>HYPERLINK("https://klasma.github.io/Logging_2462/artfynd/A 37785-2021 artfynd.xlsx", "A 37785-2021")</f>
        <v/>
      </c>
      <c r="T897">
        <f>HYPERLINK("https://klasma.github.io/Logging_2462/kartor/A 37785-2021 karta.png", "A 37785-2021")</f>
        <v/>
      </c>
      <c r="V897">
        <f>HYPERLINK("https://klasma.github.io/Logging_2462/klagomål/A 37785-2021 FSC-klagomål.docx", "A 37785-2021")</f>
        <v/>
      </c>
      <c r="W897">
        <f>HYPERLINK("https://klasma.github.io/Logging_2462/klagomålsmail/A 37785-2021 FSC-klagomål mail.docx", "A 37785-2021")</f>
        <v/>
      </c>
      <c r="X897">
        <f>HYPERLINK("https://klasma.github.io/Logging_2462/tillsyn/A 37785-2021 tillsynsbegäran.docx", "A 37785-2021")</f>
        <v/>
      </c>
      <c r="Y897">
        <f>HYPERLINK("https://klasma.github.io/Logging_2462/tillsynsmail/A 37785-2021 tillsynsbegäran mail.docx", "A 37785-2021")</f>
        <v/>
      </c>
    </row>
    <row r="898" ht="15" customHeight="1">
      <c r="A898" t="inlineStr">
        <is>
          <t>A 38440-2021</t>
        </is>
      </c>
      <c r="B898" s="1" t="n">
        <v>44406</v>
      </c>
      <c r="C898" s="1" t="n">
        <v>45788</v>
      </c>
      <c r="D898" t="inlineStr">
        <is>
          <t>VÄSTERBOTTENS LÄN</t>
        </is>
      </c>
      <c r="E898" t="inlineStr">
        <is>
          <t>UMEÅ</t>
        </is>
      </c>
      <c r="F898" t="inlineStr">
        <is>
          <t>Kommuner</t>
        </is>
      </c>
      <c r="G898" t="n">
        <v>2.6</v>
      </c>
      <c r="H898" t="n">
        <v>2</v>
      </c>
      <c r="I898" t="n">
        <v>0</v>
      </c>
      <c r="J898" t="n">
        <v>1</v>
      </c>
      <c r="K898" t="n">
        <v>0</v>
      </c>
      <c r="L898" t="n">
        <v>0</v>
      </c>
      <c r="M898" t="n">
        <v>0</v>
      </c>
      <c r="N898" t="n">
        <v>0</v>
      </c>
      <c r="O898" t="n">
        <v>1</v>
      </c>
      <c r="P898" t="n">
        <v>0</v>
      </c>
      <c r="Q898" t="n">
        <v>2</v>
      </c>
      <c r="R898" s="2" t="inlineStr">
        <is>
          <t>Nordfladdermus
Vattenfladdermus</t>
        </is>
      </c>
      <c r="S898">
        <f>HYPERLINK("https://klasma.github.io/Logging_2480/artfynd/A 38440-2021 artfynd.xlsx", "A 38440-2021")</f>
        <v/>
      </c>
      <c r="T898">
        <f>HYPERLINK("https://klasma.github.io/Logging_2480/kartor/A 38440-2021 karta.png", "A 38440-2021")</f>
        <v/>
      </c>
      <c r="V898">
        <f>HYPERLINK("https://klasma.github.io/Logging_2480/klagomål/A 38440-2021 FSC-klagomål.docx", "A 38440-2021")</f>
        <v/>
      </c>
      <c r="W898">
        <f>HYPERLINK("https://klasma.github.io/Logging_2480/klagomålsmail/A 38440-2021 FSC-klagomål mail.docx", "A 38440-2021")</f>
        <v/>
      </c>
      <c r="X898">
        <f>HYPERLINK("https://klasma.github.io/Logging_2480/tillsyn/A 38440-2021 tillsynsbegäran.docx", "A 38440-2021")</f>
        <v/>
      </c>
      <c r="Y898">
        <f>HYPERLINK("https://klasma.github.io/Logging_2480/tillsynsmail/A 38440-2021 tillsynsbegäran mail.docx", "A 38440-2021")</f>
        <v/>
      </c>
    </row>
    <row r="899" ht="15" customHeight="1">
      <c r="A899" t="inlineStr">
        <is>
          <t>A 38443-2021</t>
        </is>
      </c>
      <c r="B899" s="1" t="n">
        <v>44406</v>
      </c>
      <c r="C899" s="1" t="n">
        <v>45788</v>
      </c>
      <c r="D899" t="inlineStr">
        <is>
          <t>VÄSTERBOTTENS LÄN</t>
        </is>
      </c>
      <c r="E899" t="inlineStr">
        <is>
          <t>UMEÅ</t>
        </is>
      </c>
      <c r="F899" t="inlineStr">
        <is>
          <t>Kommuner</t>
        </is>
      </c>
      <c r="G899" t="n">
        <v>2.8</v>
      </c>
      <c r="H899" t="n">
        <v>0</v>
      </c>
      <c r="I899" t="n">
        <v>1</v>
      </c>
      <c r="J899" t="n">
        <v>1</v>
      </c>
      <c r="K899" t="n">
        <v>0</v>
      </c>
      <c r="L899" t="n">
        <v>0</v>
      </c>
      <c r="M899" t="n">
        <v>0</v>
      </c>
      <c r="N899" t="n">
        <v>0</v>
      </c>
      <c r="O899" t="n">
        <v>1</v>
      </c>
      <c r="P899" t="n">
        <v>0</v>
      </c>
      <c r="Q899" t="n">
        <v>2</v>
      </c>
      <c r="R899" s="2" t="inlineStr">
        <is>
          <t>Motaggsvamp
Skarp dropptaggsvamp</t>
        </is>
      </c>
      <c r="S899">
        <f>HYPERLINK("https://klasma.github.io/Logging_2480/artfynd/A 38443-2021 artfynd.xlsx", "A 38443-2021")</f>
        <v/>
      </c>
      <c r="T899">
        <f>HYPERLINK("https://klasma.github.io/Logging_2480/kartor/A 38443-2021 karta.png", "A 38443-2021")</f>
        <v/>
      </c>
      <c r="V899">
        <f>HYPERLINK("https://klasma.github.io/Logging_2480/klagomål/A 38443-2021 FSC-klagomål.docx", "A 38443-2021")</f>
        <v/>
      </c>
      <c r="W899">
        <f>HYPERLINK("https://klasma.github.io/Logging_2480/klagomålsmail/A 38443-2021 FSC-klagomål mail.docx", "A 38443-2021")</f>
        <v/>
      </c>
      <c r="X899">
        <f>HYPERLINK("https://klasma.github.io/Logging_2480/tillsyn/A 38443-2021 tillsynsbegäran.docx", "A 38443-2021")</f>
        <v/>
      </c>
      <c r="Y899">
        <f>HYPERLINK("https://klasma.github.io/Logging_2480/tillsynsmail/A 38443-2021 tillsynsbegäran mail.docx", "A 38443-2021")</f>
        <v/>
      </c>
    </row>
    <row r="900" ht="15" customHeight="1">
      <c r="A900" t="inlineStr">
        <is>
          <t>A 38689-2021</t>
        </is>
      </c>
      <c r="B900" s="1" t="n">
        <v>44407</v>
      </c>
      <c r="C900" s="1" t="n">
        <v>45788</v>
      </c>
      <c r="D900" t="inlineStr">
        <is>
          <t>VÄSTERBOTTENS LÄN</t>
        </is>
      </c>
      <c r="E900" t="inlineStr">
        <is>
          <t>UMEÅ</t>
        </is>
      </c>
      <c r="F900" t="inlineStr">
        <is>
          <t>Kommuner</t>
        </is>
      </c>
      <c r="G900" t="n">
        <v>1.4</v>
      </c>
      <c r="H900" t="n">
        <v>0</v>
      </c>
      <c r="I900" t="n">
        <v>0</v>
      </c>
      <c r="J900" t="n">
        <v>2</v>
      </c>
      <c r="K900" t="n">
        <v>0</v>
      </c>
      <c r="L900" t="n">
        <v>0</v>
      </c>
      <c r="M900" t="n">
        <v>0</v>
      </c>
      <c r="N900" t="n">
        <v>0</v>
      </c>
      <c r="O900" t="n">
        <v>2</v>
      </c>
      <c r="P900" t="n">
        <v>0</v>
      </c>
      <c r="Q900" t="n">
        <v>2</v>
      </c>
      <c r="R900" s="2" t="inlineStr">
        <is>
          <t>Gulbandad brunbagge
Rödhalsad vedsvampbagge</t>
        </is>
      </c>
      <c r="S900">
        <f>HYPERLINK("https://klasma.github.io/Logging_2480/artfynd/A 38689-2021 artfynd.xlsx", "A 38689-2021")</f>
        <v/>
      </c>
      <c r="T900">
        <f>HYPERLINK("https://klasma.github.io/Logging_2480/kartor/A 38689-2021 karta.png", "A 38689-2021")</f>
        <v/>
      </c>
      <c r="V900">
        <f>HYPERLINK("https://klasma.github.io/Logging_2480/klagomål/A 38689-2021 FSC-klagomål.docx", "A 38689-2021")</f>
        <v/>
      </c>
      <c r="W900">
        <f>HYPERLINK("https://klasma.github.io/Logging_2480/klagomålsmail/A 38689-2021 FSC-klagomål mail.docx", "A 38689-2021")</f>
        <v/>
      </c>
      <c r="X900">
        <f>HYPERLINK("https://klasma.github.io/Logging_2480/tillsyn/A 38689-2021 tillsynsbegäran.docx", "A 38689-2021")</f>
        <v/>
      </c>
      <c r="Y900">
        <f>HYPERLINK("https://klasma.github.io/Logging_2480/tillsynsmail/A 38689-2021 tillsynsbegäran mail.docx", "A 38689-2021")</f>
        <v/>
      </c>
    </row>
    <row r="901" ht="15" customHeight="1">
      <c r="A901" t="inlineStr">
        <is>
          <t>A 40939-2021</t>
        </is>
      </c>
      <c r="B901" s="1" t="n">
        <v>44421</v>
      </c>
      <c r="C901" s="1" t="n">
        <v>45788</v>
      </c>
      <c r="D901" t="inlineStr">
        <is>
          <t>VÄSTERBOTTENS LÄN</t>
        </is>
      </c>
      <c r="E901" t="inlineStr">
        <is>
          <t>STORUMAN</t>
        </is>
      </c>
      <c r="G901" t="n">
        <v>4.8</v>
      </c>
      <c r="H901" t="n">
        <v>1</v>
      </c>
      <c r="I901" t="n">
        <v>0</v>
      </c>
      <c r="J901" t="n">
        <v>1</v>
      </c>
      <c r="K901" t="n">
        <v>1</v>
      </c>
      <c r="L901" t="n">
        <v>0</v>
      </c>
      <c r="M901" t="n">
        <v>0</v>
      </c>
      <c r="N901" t="n">
        <v>0</v>
      </c>
      <c r="O901" t="n">
        <v>2</v>
      </c>
      <c r="P901" t="n">
        <v>1</v>
      </c>
      <c r="Q901" t="n">
        <v>2</v>
      </c>
      <c r="R901" s="2" t="inlineStr">
        <is>
          <t>Knärot
Lunglav</t>
        </is>
      </c>
      <c r="S901">
        <f>HYPERLINK("https://klasma.github.io/Logging_2421/artfynd/A 40939-2021 artfynd.xlsx", "A 40939-2021")</f>
        <v/>
      </c>
      <c r="T901">
        <f>HYPERLINK("https://klasma.github.io/Logging_2421/kartor/A 40939-2021 karta.png", "A 40939-2021")</f>
        <v/>
      </c>
      <c r="U901">
        <f>HYPERLINK("https://klasma.github.io/Logging_2421/knärot/A 40939-2021 karta knärot.png", "A 40939-2021")</f>
        <v/>
      </c>
      <c r="V901">
        <f>HYPERLINK("https://klasma.github.io/Logging_2421/klagomål/A 40939-2021 FSC-klagomål.docx", "A 40939-2021")</f>
        <v/>
      </c>
      <c r="W901">
        <f>HYPERLINK("https://klasma.github.io/Logging_2421/klagomålsmail/A 40939-2021 FSC-klagomål mail.docx", "A 40939-2021")</f>
        <v/>
      </c>
      <c r="X901">
        <f>HYPERLINK("https://klasma.github.io/Logging_2421/tillsyn/A 40939-2021 tillsynsbegäran.docx", "A 40939-2021")</f>
        <v/>
      </c>
      <c r="Y901">
        <f>HYPERLINK("https://klasma.github.io/Logging_2421/tillsynsmail/A 40939-2021 tillsynsbegäran mail.docx", "A 40939-2021")</f>
        <v/>
      </c>
    </row>
    <row r="902" ht="15" customHeight="1">
      <c r="A902" t="inlineStr">
        <is>
          <t>A 43265-2021</t>
        </is>
      </c>
      <c r="B902" s="1" t="n">
        <v>44432</v>
      </c>
      <c r="C902" s="1" t="n">
        <v>45788</v>
      </c>
      <c r="D902" t="inlineStr">
        <is>
          <t>VÄSTERBOTTENS LÄN</t>
        </is>
      </c>
      <c r="E902" t="inlineStr">
        <is>
          <t>SORSELE</t>
        </is>
      </c>
      <c r="G902" t="n">
        <v>38.3</v>
      </c>
      <c r="H902" t="n">
        <v>1</v>
      </c>
      <c r="I902" t="n">
        <v>0</v>
      </c>
      <c r="J902" t="n">
        <v>1</v>
      </c>
      <c r="K902" t="n">
        <v>0</v>
      </c>
      <c r="L902" t="n">
        <v>0</v>
      </c>
      <c r="M902" t="n">
        <v>0</v>
      </c>
      <c r="N902" t="n">
        <v>0</v>
      </c>
      <c r="O902" t="n">
        <v>1</v>
      </c>
      <c r="P902" t="n">
        <v>0</v>
      </c>
      <c r="Q902" t="n">
        <v>2</v>
      </c>
      <c r="R902" s="2" t="inlineStr">
        <is>
          <t>Garnlav
Fläcknycklar</t>
        </is>
      </c>
      <c r="S902">
        <f>HYPERLINK("https://klasma.github.io/Logging_2422/artfynd/A 43265-2021 artfynd.xlsx", "A 43265-2021")</f>
        <v/>
      </c>
      <c r="T902">
        <f>HYPERLINK("https://klasma.github.io/Logging_2422/kartor/A 43265-2021 karta.png", "A 43265-2021")</f>
        <v/>
      </c>
      <c r="V902">
        <f>HYPERLINK("https://klasma.github.io/Logging_2422/klagomål/A 43265-2021 FSC-klagomål.docx", "A 43265-2021")</f>
        <v/>
      </c>
      <c r="W902">
        <f>HYPERLINK("https://klasma.github.io/Logging_2422/klagomålsmail/A 43265-2021 FSC-klagomål mail.docx", "A 43265-2021")</f>
        <v/>
      </c>
      <c r="X902">
        <f>HYPERLINK("https://klasma.github.io/Logging_2422/tillsyn/A 43265-2021 tillsynsbegäran.docx", "A 43265-2021")</f>
        <v/>
      </c>
      <c r="Y902">
        <f>HYPERLINK("https://klasma.github.io/Logging_2422/tillsynsmail/A 43265-2021 tillsynsbegäran mail.docx", "A 43265-2021")</f>
        <v/>
      </c>
    </row>
    <row r="903" ht="15" customHeight="1">
      <c r="A903" t="inlineStr">
        <is>
          <t>A 52103-2021</t>
        </is>
      </c>
      <c r="B903" s="1" t="n">
        <v>44463</v>
      </c>
      <c r="C903" s="1" t="n">
        <v>45788</v>
      </c>
      <c r="D903" t="inlineStr">
        <is>
          <t>VÄSTERBOTTENS LÄN</t>
        </is>
      </c>
      <c r="E903" t="inlineStr">
        <is>
          <t>VINDELN</t>
        </is>
      </c>
      <c r="F903" t="inlineStr">
        <is>
          <t>Sveaskog</t>
        </is>
      </c>
      <c r="G903" t="n">
        <v>5.8</v>
      </c>
      <c r="H903" t="n">
        <v>0</v>
      </c>
      <c r="I903" t="n">
        <v>0</v>
      </c>
      <c r="J903" t="n">
        <v>2</v>
      </c>
      <c r="K903" t="n">
        <v>0</v>
      </c>
      <c r="L903" t="n">
        <v>0</v>
      </c>
      <c r="M903" t="n">
        <v>0</v>
      </c>
      <c r="N903" t="n">
        <v>0</v>
      </c>
      <c r="O903" t="n">
        <v>2</v>
      </c>
      <c r="P903" t="n">
        <v>0</v>
      </c>
      <c r="Q903" t="n">
        <v>2</v>
      </c>
      <c r="R903" s="2" t="inlineStr">
        <is>
          <t>Blå taggsvamp
Vaddporing</t>
        </is>
      </c>
      <c r="S903">
        <f>HYPERLINK("https://klasma.github.io/Logging_2404/artfynd/A 52103-2021 artfynd.xlsx", "A 52103-2021")</f>
        <v/>
      </c>
      <c r="T903">
        <f>HYPERLINK("https://klasma.github.io/Logging_2404/kartor/A 52103-2021 karta.png", "A 52103-2021")</f>
        <v/>
      </c>
      <c r="V903">
        <f>HYPERLINK("https://klasma.github.io/Logging_2404/klagomål/A 52103-2021 FSC-klagomål.docx", "A 52103-2021")</f>
        <v/>
      </c>
      <c r="W903">
        <f>HYPERLINK("https://klasma.github.io/Logging_2404/klagomålsmail/A 52103-2021 FSC-klagomål mail.docx", "A 52103-2021")</f>
        <v/>
      </c>
      <c r="X903">
        <f>HYPERLINK("https://klasma.github.io/Logging_2404/tillsyn/A 52103-2021 tillsynsbegäran.docx", "A 52103-2021")</f>
        <v/>
      </c>
      <c r="Y903">
        <f>HYPERLINK("https://klasma.github.io/Logging_2404/tillsynsmail/A 52103-2021 tillsynsbegäran mail.docx", "A 52103-2021")</f>
        <v/>
      </c>
    </row>
    <row r="904" ht="15" customHeight="1">
      <c r="A904" t="inlineStr">
        <is>
          <t>A 55745-2021</t>
        </is>
      </c>
      <c r="B904" s="1" t="n">
        <v>44476</v>
      </c>
      <c r="C904" s="1" t="n">
        <v>45788</v>
      </c>
      <c r="D904" t="inlineStr">
        <is>
          <t>VÄSTERBOTTENS LÄN</t>
        </is>
      </c>
      <c r="E904" t="inlineStr">
        <is>
          <t>NORSJÖ</t>
        </is>
      </c>
      <c r="F904" t="inlineStr">
        <is>
          <t>Sveaskog</t>
        </is>
      </c>
      <c r="G904" t="n">
        <v>21.5</v>
      </c>
      <c r="H904" t="n">
        <v>0</v>
      </c>
      <c r="I904" t="n">
        <v>0</v>
      </c>
      <c r="J904" t="n">
        <v>2</v>
      </c>
      <c r="K904" t="n">
        <v>0</v>
      </c>
      <c r="L904" t="n">
        <v>0</v>
      </c>
      <c r="M904" t="n">
        <v>0</v>
      </c>
      <c r="N904" t="n">
        <v>0</v>
      </c>
      <c r="O904" t="n">
        <v>2</v>
      </c>
      <c r="P904" t="n">
        <v>0</v>
      </c>
      <c r="Q904" t="n">
        <v>2</v>
      </c>
      <c r="R904" s="2" t="inlineStr">
        <is>
          <t>Lunglav
Vitgrynig nållav</t>
        </is>
      </c>
      <c r="S904">
        <f>HYPERLINK("https://klasma.github.io/Logging_2417/artfynd/A 55745-2021 artfynd.xlsx", "A 55745-2021")</f>
        <v/>
      </c>
      <c r="T904">
        <f>HYPERLINK("https://klasma.github.io/Logging_2417/kartor/A 55745-2021 karta.png", "A 55745-2021")</f>
        <v/>
      </c>
      <c r="V904">
        <f>HYPERLINK("https://klasma.github.io/Logging_2417/klagomål/A 55745-2021 FSC-klagomål.docx", "A 55745-2021")</f>
        <v/>
      </c>
      <c r="W904">
        <f>HYPERLINK("https://klasma.github.io/Logging_2417/klagomålsmail/A 55745-2021 FSC-klagomål mail.docx", "A 55745-2021")</f>
        <v/>
      </c>
      <c r="X904">
        <f>HYPERLINK("https://klasma.github.io/Logging_2417/tillsyn/A 55745-2021 tillsynsbegäran.docx", "A 55745-2021")</f>
        <v/>
      </c>
      <c r="Y904">
        <f>HYPERLINK("https://klasma.github.io/Logging_2417/tillsynsmail/A 55745-2021 tillsynsbegäran mail.docx", "A 55745-2021")</f>
        <v/>
      </c>
    </row>
    <row r="905" ht="15" customHeight="1">
      <c r="A905" t="inlineStr">
        <is>
          <t>A 58661-2021</t>
        </is>
      </c>
      <c r="B905" s="1" t="n">
        <v>44489</v>
      </c>
      <c r="C905" s="1" t="n">
        <v>45788</v>
      </c>
      <c r="D905" t="inlineStr">
        <is>
          <t>VÄSTERBOTTENS LÄN</t>
        </is>
      </c>
      <c r="E905" t="inlineStr">
        <is>
          <t>SKELLEFTEÅ</t>
        </is>
      </c>
      <c r="F905" t="inlineStr">
        <is>
          <t>Sveaskog</t>
        </is>
      </c>
      <c r="G905" t="n">
        <v>3.2</v>
      </c>
      <c r="H905" t="n">
        <v>0</v>
      </c>
      <c r="I905" t="n">
        <v>1</v>
      </c>
      <c r="J905" t="n">
        <v>1</v>
      </c>
      <c r="K905" t="n">
        <v>0</v>
      </c>
      <c r="L905" t="n">
        <v>0</v>
      </c>
      <c r="M905" t="n">
        <v>0</v>
      </c>
      <c r="N905" t="n">
        <v>0</v>
      </c>
      <c r="O905" t="n">
        <v>1</v>
      </c>
      <c r="P905" t="n">
        <v>0</v>
      </c>
      <c r="Q905" t="n">
        <v>2</v>
      </c>
      <c r="R905" s="2" t="inlineStr">
        <is>
          <t>Vedskivlav
Bronshjon</t>
        </is>
      </c>
      <c r="S905">
        <f>HYPERLINK("https://klasma.github.io/Logging_2482/artfynd/A 58661-2021 artfynd.xlsx", "A 58661-2021")</f>
        <v/>
      </c>
      <c r="T905">
        <f>HYPERLINK("https://klasma.github.io/Logging_2482/kartor/A 58661-2021 karta.png", "A 58661-2021")</f>
        <v/>
      </c>
      <c r="V905">
        <f>HYPERLINK("https://klasma.github.io/Logging_2482/klagomål/A 58661-2021 FSC-klagomål.docx", "A 58661-2021")</f>
        <v/>
      </c>
      <c r="W905">
        <f>HYPERLINK("https://klasma.github.io/Logging_2482/klagomålsmail/A 58661-2021 FSC-klagomål mail.docx", "A 58661-2021")</f>
        <v/>
      </c>
      <c r="X905">
        <f>HYPERLINK("https://klasma.github.io/Logging_2482/tillsyn/A 58661-2021 tillsynsbegäran.docx", "A 58661-2021")</f>
        <v/>
      </c>
      <c r="Y905">
        <f>HYPERLINK("https://klasma.github.io/Logging_2482/tillsynsmail/A 58661-2021 tillsynsbegäran mail.docx", "A 58661-2021")</f>
        <v/>
      </c>
    </row>
    <row r="906" ht="15" customHeight="1">
      <c r="A906" t="inlineStr">
        <is>
          <t>A 58885-2021</t>
        </is>
      </c>
      <c r="B906" s="1" t="n">
        <v>44489</v>
      </c>
      <c r="C906" s="1" t="n">
        <v>45788</v>
      </c>
      <c r="D906" t="inlineStr">
        <is>
          <t>VÄSTERBOTTENS LÄN</t>
        </is>
      </c>
      <c r="E906" t="inlineStr">
        <is>
          <t>SKELLEFTEÅ</t>
        </is>
      </c>
      <c r="F906" t="inlineStr">
        <is>
          <t>Sveaskog</t>
        </is>
      </c>
      <c r="G906" t="n">
        <v>13.7</v>
      </c>
      <c r="H906" t="n">
        <v>0</v>
      </c>
      <c r="I906" t="n">
        <v>1</v>
      </c>
      <c r="J906" t="n">
        <v>1</v>
      </c>
      <c r="K906" t="n">
        <v>0</v>
      </c>
      <c r="L906" t="n">
        <v>0</v>
      </c>
      <c r="M906" t="n">
        <v>0</v>
      </c>
      <c r="N906" t="n">
        <v>0</v>
      </c>
      <c r="O906" t="n">
        <v>1</v>
      </c>
      <c r="P906" t="n">
        <v>0</v>
      </c>
      <c r="Q906" t="n">
        <v>2</v>
      </c>
      <c r="R906" s="2" t="inlineStr">
        <is>
          <t>Lunglav
Stuplav</t>
        </is>
      </c>
      <c r="S906">
        <f>HYPERLINK("https://klasma.github.io/Logging_2482/artfynd/A 58885-2021 artfynd.xlsx", "A 58885-2021")</f>
        <v/>
      </c>
      <c r="T906">
        <f>HYPERLINK("https://klasma.github.io/Logging_2482/kartor/A 58885-2021 karta.png", "A 58885-2021")</f>
        <v/>
      </c>
      <c r="V906">
        <f>HYPERLINK("https://klasma.github.io/Logging_2482/klagomål/A 58885-2021 FSC-klagomål.docx", "A 58885-2021")</f>
        <v/>
      </c>
      <c r="W906">
        <f>HYPERLINK("https://klasma.github.io/Logging_2482/klagomålsmail/A 58885-2021 FSC-klagomål mail.docx", "A 58885-2021")</f>
        <v/>
      </c>
      <c r="X906">
        <f>HYPERLINK("https://klasma.github.io/Logging_2482/tillsyn/A 58885-2021 tillsynsbegäran.docx", "A 58885-2021")</f>
        <v/>
      </c>
      <c r="Y906">
        <f>HYPERLINK("https://klasma.github.io/Logging_2482/tillsynsmail/A 58885-2021 tillsynsbegäran mail.docx", "A 58885-2021")</f>
        <v/>
      </c>
    </row>
    <row r="907" ht="15" customHeight="1">
      <c r="A907" t="inlineStr">
        <is>
          <t>A 59706-2021</t>
        </is>
      </c>
      <c r="B907" s="1" t="n">
        <v>44494</v>
      </c>
      <c r="C907" s="1" t="n">
        <v>45788</v>
      </c>
      <c r="D907" t="inlineStr">
        <is>
          <t>VÄSTERBOTTENS LÄN</t>
        </is>
      </c>
      <c r="E907" t="inlineStr">
        <is>
          <t>SKELLEFTEÅ</t>
        </is>
      </c>
      <c r="F907" t="inlineStr">
        <is>
          <t>Sveaskog</t>
        </is>
      </c>
      <c r="G907" t="n">
        <v>2.5</v>
      </c>
      <c r="H907" t="n">
        <v>0</v>
      </c>
      <c r="I907" t="n">
        <v>0</v>
      </c>
      <c r="J907" t="n">
        <v>2</v>
      </c>
      <c r="K907" t="n">
        <v>0</v>
      </c>
      <c r="L907" t="n">
        <v>0</v>
      </c>
      <c r="M907" t="n">
        <v>0</v>
      </c>
      <c r="N907" t="n">
        <v>0</v>
      </c>
      <c r="O907" t="n">
        <v>2</v>
      </c>
      <c r="P907" t="n">
        <v>0</v>
      </c>
      <c r="Q907" t="n">
        <v>2</v>
      </c>
      <c r="R907" s="2" t="inlineStr">
        <is>
          <t>Garnlav
Violettgrå tagellav</t>
        </is>
      </c>
      <c r="S907">
        <f>HYPERLINK("https://klasma.github.io/Logging_2482/artfynd/A 59706-2021 artfynd.xlsx", "A 59706-2021")</f>
        <v/>
      </c>
      <c r="T907">
        <f>HYPERLINK("https://klasma.github.io/Logging_2482/kartor/A 59706-2021 karta.png", "A 59706-2021")</f>
        <v/>
      </c>
      <c r="V907">
        <f>HYPERLINK("https://klasma.github.io/Logging_2482/klagomål/A 59706-2021 FSC-klagomål.docx", "A 59706-2021")</f>
        <v/>
      </c>
      <c r="W907">
        <f>HYPERLINK("https://klasma.github.io/Logging_2482/klagomålsmail/A 59706-2021 FSC-klagomål mail.docx", "A 59706-2021")</f>
        <v/>
      </c>
      <c r="X907">
        <f>HYPERLINK("https://klasma.github.io/Logging_2482/tillsyn/A 59706-2021 tillsynsbegäran.docx", "A 59706-2021")</f>
        <v/>
      </c>
      <c r="Y907">
        <f>HYPERLINK("https://klasma.github.io/Logging_2482/tillsynsmail/A 59706-2021 tillsynsbegäran mail.docx", "A 59706-2021")</f>
        <v/>
      </c>
    </row>
    <row r="908" ht="15" customHeight="1">
      <c r="A908" t="inlineStr">
        <is>
          <t>A 61497-2021</t>
        </is>
      </c>
      <c r="B908" s="1" t="n">
        <v>44501</v>
      </c>
      <c r="C908" s="1" t="n">
        <v>45788</v>
      </c>
      <c r="D908" t="inlineStr">
        <is>
          <t>VÄSTERBOTTENS LÄN</t>
        </is>
      </c>
      <c r="E908" t="inlineStr">
        <is>
          <t>LYCKSELE</t>
        </is>
      </c>
      <c r="F908" t="inlineStr">
        <is>
          <t>Sveaskog</t>
        </is>
      </c>
      <c r="G908" t="n">
        <v>8</v>
      </c>
      <c r="H908" t="n">
        <v>0</v>
      </c>
      <c r="I908" t="n">
        <v>0</v>
      </c>
      <c r="J908" t="n">
        <v>2</v>
      </c>
      <c r="K908" t="n">
        <v>0</v>
      </c>
      <c r="L908" t="n">
        <v>0</v>
      </c>
      <c r="M908" t="n">
        <v>0</v>
      </c>
      <c r="N908" t="n">
        <v>0</v>
      </c>
      <c r="O908" t="n">
        <v>2</v>
      </c>
      <c r="P908" t="n">
        <v>0</v>
      </c>
      <c r="Q908" t="n">
        <v>2</v>
      </c>
      <c r="R908" s="2" t="inlineStr">
        <is>
          <t>Dvärgbägarlav
Vaddporing</t>
        </is>
      </c>
      <c r="S908">
        <f>HYPERLINK("https://klasma.github.io/Logging_2481/artfynd/A 61497-2021 artfynd.xlsx", "A 61497-2021")</f>
        <v/>
      </c>
      <c r="T908">
        <f>HYPERLINK("https://klasma.github.io/Logging_2481/kartor/A 61497-2021 karta.png", "A 61497-2021")</f>
        <v/>
      </c>
      <c r="V908">
        <f>HYPERLINK("https://klasma.github.io/Logging_2481/klagomål/A 61497-2021 FSC-klagomål.docx", "A 61497-2021")</f>
        <v/>
      </c>
      <c r="W908">
        <f>HYPERLINK("https://klasma.github.io/Logging_2481/klagomålsmail/A 61497-2021 FSC-klagomål mail.docx", "A 61497-2021")</f>
        <v/>
      </c>
      <c r="X908">
        <f>HYPERLINK("https://klasma.github.io/Logging_2481/tillsyn/A 61497-2021 tillsynsbegäran.docx", "A 61497-2021")</f>
        <v/>
      </c>
      <c r="Y908">
        <f>HYPERLINK("https://klasma.github.io/Logging_2481/tillsynsmail/A 61497-2021 tillsynsbegäran mail.docx", "A 61497-2021")</f>
        <v/>
      </c>
    </row>
    <row r="909" ht="15" customHeight="1">
      <c r="A909" t="inlineStr">
        <is>
          <t>A 65586-2021</t>
        </is>
      </c>
      <c r="B909" s="1" t="n">
        <v>44518</v>
      </c>
      <c r="C909" s="1" t="n">
        <v>45788</v>
      </c>
      <c r="D909" t="inlineStr">
        <is>
          <t>VÄSTERBOTTENS LÄN</t>
        </is>
      </c>
      <c r="E909" t="inlineStr">
        <is>
          <t>VILHELMINA</t>
        </is>
      </c>
      <c r="G909" t="n">
        <v>38</v>
      </c>
      <c r="H909" t="n">
        <v>2</v>
      </c>
      <c r="I909" t="n">
        <v>0</v>
      </c>
      <c r="J909" t="n">
        <v>1</v>
      </c>
      <c r="K909" t="n">
        <v>1</v>
      </c>
      <c r="L909" t="n">
        <v>0</v>
      </c>
      <c r="M909" t="n">
        <v>0</v>
      </c>
      <c r="N909" t="n">
        <v>0</v>
      </c>
      <c r="O909" t="n">
        <v>2</v>
      </c>
      <c r="P909" t="n">
        <v>1</v>
      </c>
      <c r="Q909" t="n">
        <v>2</v>
      </c>
      <c r="R909" s="2" t="inlineStr">
        <is>
          <t>Lappuggla
Tretåig hackspett</t>
        </is>
      </c>
      <c r="S909">
        <f>HYPERLINK("https://klasma.github.io/Logging_2462/artfynd/A 65586-2021 artfynd.xlsx", "A 65586-2021")</f>
        <v/>
      </c>
      <c r="T909">
        <f>HYPERLINK("https://klasma.github.io/Logging_2462/kartor/A 65586-2021 karta.png", "A 65586-2021")</f>
        <v/>
      </c>
      <c r="V909">
        <f>HYPERLINK("https://klasma.github.io/Logging_2462/klagomål/A 65586-2021 FSC-klagomål.docx", "A 65586-2021")</f>
        <v/>
      </c>
      <c r="W909">
        <f>HYPERLINK("https://klasma.github.io/Logging_2462/klagomålsmail/A 65586-2021 FSC-klagomål mail.docx", "A 65586-2021")</f>
        <v/>
      </c>
      <c r="X909">
        <f>HYPERLINK("https://klasma.github.io/Logging_2462/tillsyn/A 65586-2021 tillsynsbegäran.docx", "A 65586-2021")</f>
        <v/>
      </c>
      <c r="Y909">
        <f>HYPERLINK("https://klasma.github.io/Logging_2462/tillsynsmail/A 65586-2021 tillsynsbegäran mail.docx", "A 65586-2021")</f>
        <v/>
      </c>
      <c r="Z909">
        <f>HYPERLINK("https://klasma.github.io/Logging_2462/fåglar/A 65586-2021 prioriterade fågelarter.docx", "A 65586-2021")</f>
        <v/>
      </c>
    </row>
    <row r="910" ht="15" customHeight="1">
      <c r="A910" t="inlineStr">
        <is>
          <t>A 69023-2021</t>
        </is>
      </c>
      <c r="B910" s="1" t="n">
        <v>44529</v>
      </c>
      <c r="C910" s="1" t="n">
        <v>45788</v>
      </c>
      <c r="D910" t="inlineStr">
        <is>
          <t>VÄSTERBOTTENS LÄN</t>
        </is>
      </c>
      <c r="E910" t="inlineStr">
        <is>
          <t>VILHELMINA</t>
        </is>
      </c>
      <c r="G910" t="n">
        <v>88</v>
      </c>
      <c r="H910" t="n">
        <v>0</v>
      </c>
      <c r="I910" t="n">
        <v>0</v>
      </c>
      <c r="J910" t="n">
        <v>2</v>
      </c>
      <c r="K910" t="n">
        <v>0</v>
      </c>
      <c r="L910" t="n">
        <v>0</v>
      </c>
      <c r="M910" t="n">
        <v>0</v>
      </c>
      <c r="N910" t="n">
        <v>0</v>
      </c>
      <c r="O910" t="n">
        <v>2</v>
      </c>
      <c r="P910" t="n">
        <v>0</v>
      </c>
      <c r="Q910" t="n">
        <v>2</v>
      </c>
      <c r="R910" s="2" t="inlineStr">
        <is>
          <t>Garnlav
Lunglav</t>
        </is>
      </c>
      <c r="S910">
        <f>HYPERLINK("https://klasma.github.io/Logging_2462/artfynd/A 69023-2021 artfynd.xlsx", "A 69023-2021")</f>
        <v/>
      </c>
      <c r="T910">
        <f>HYPERLINK("https://klasma.github.io/Logging_2462/kartor/A 69023-2021 karta.png", "A 69023-2021")</f>
        <v/>
      </c>
      <c r="V910">
        <f>HYPERLINK("https://klasma.github.io/Logging_2462/klagomål/A 69023-2021 FSC-klagomål.docx", "A 69023-2021")</f>
        <v/>
      </c>
      <c r="W910">
        <f>HYPERLINK("https://klasma.github.io/Logging_2462/klagomålsmail/A 69023-2021 FSC-klagomål mail.docx", "A 69023-2021")</f>
        <v/>
      </c>
      <c r="X910">
        <f>HYPERLINK("https://klasma.github.io/Logging_2462/tillsyn/A 69023-2021 tillsynsbegäran.docx", "A 69023-2021")</f>
        <v/>
      </c>
      <c r="Y910">
        <f>HYPERLINK("https://klasma.github.io/Logging_2462/tillsynsmail/A 69023-2021 tillsynsbegäran mail.docx", "A 69023-2021")</f>
        <v/>
      </c>
    </row>
    <row r="911" ht="15" customHeight="1">
      <c r="A911" t="inlineStr">
        <is>
          <t>A 70179-2021</t>
        </is>
      </c>
      <c r="B911" s="1" t="n">
        <v>44533</v>
      </c>
      <c r="C911" s="1" t="n">
        <v>45788</v>
      </c>
      <c r="D911" t="inlineStr">
        <is>
          <t>VÄSTERBOTTENS LÄN</t>
        </is>
      </c>
      <c r="E911" t="inlineStr">
        <is>
          <t>LYCKSELE</t>
        </is>
      </c>
      <c r="G911" t="n">
        <v>5.2</v>
      </c>
      <c r="H911" t="n">
        <v>0</v>
      </c>
      <c r="I911" t="n">
        <v>0</v>
      </c>
      <c r="J911" t="n">
        <v>2</v>
      </c>
      <c r="K911" t="n">
        <v>0</v>
      </c>
      <c r="L911" t="n">
        <v>0</v>
      </c>
      <c r="M911" t="n">
        <v>0</v>
      </c>
      <c r="N911" t="n">
        <v>0</v>
      </c>
      <c r="O911" t="n">
        <v>2</v>
      </c>
      <c r="P911" t="n">
        <v>0</v>
      </c>
      <c r="Q911" t="n">
        <v>2</v>
      </c>
      <c r="R911" s="2" t="inlineStr">
        <is>
          <t>Blanksvart spiklav
Vedflamlav</t>
        </is>
      </c>
      <c r="S911">
        <f>HYPERLINK("https://klasma.github.io/Logging_2481/artfynd/A 70179-2021 artfynd.xlsx", "A 70179-2021")</f>
        <v/>
      </c>
      <c r="T911">
        <f>HYPERLINK("https://klasma.github.io/Logging_2481/kartor/A 70179-2021 karta.png", "A 70179-2021")</f>
        <v/>
      </c>
      <c r="V911">
        <f>HYPERLINK("https://klasma.github.io/Logging_2481/klagomål/A 70179-2021 FSC-klagomål.docx", "A 70179-2021")</f>
        <v/>
      </c>
      <c r="W911">
        <f>HYPERLINK("https://klasma.github.io/Logging_2481/klagomålsmail/A 70179-2021 FSC-klagomål mail.docx", "A 70179-2021")</f>
        <v/>
      </c>
      <c r="X911">
        <f>HYPERLINK("https://klasma.github.io/Logging_2481/tillsyn/A 70179-2021 tillsynsbegäran.docx", "A 70179-2021")</f>
        <v/>
      </c>
      <c r="Y911">
        <f>HYPERLINK("https://klasma.github.io/Logging_2481/tillsynsmail/A 70179-2021 tillsynsbegäran mail.docx", "A 70179-2021")</f>
        <v/>
      </c>
    </row>
    <row r="912" ht="15" customHeight="1">
      <c r="A912" t="inlineStr">
        <is>
          <t>A 6526-2022</t>
        </is>
      </c>
      <c r="B912" s="1" t="n">
        <v>44601</v>
      </c>
      <c r="C912" s="1" t="n">
        <v>45788</v>
      </c>
      <c r="D912" t="inlineStr">
        <is>
          <t>VÄSTERBOTTENS LÄN</t>
        </is>
      </c>
      <c r="E912" t="inlineStr">
        <is>
          <t>LYCKSELE</t>
        </is>
      </c>
      <c r="F912" t="inlineStr">
        <is>
          <t>Sveaskog</t>
        </is>
      </c>
      <c r="G912" t="n">
        <v>6.7</v>
      </c>
      <c r="H912" t="n">
        <v>0</v>
      </c>
      <c r="I912" t="n">
        <v>1</v>
      </c>
      <c r="J912" t="n">
        <v>1</v>
      </c>
      <c r="K912" t="n">
        <v>0</v>
      </c>
      <c r="L912" t="n">
        <v>0</v>
      </c>
      <c r="M912" t="n">
        <v>0</v>
      </c>
      <c r="N912" t="n">
        <v>0</v>
      </c>
      <c r="O912" t="n">
        <v>1</v>
      </c>
      <c r="P912" t="n">
        <v>0</v>
      </c>
      <c r="Q912" t="n">
        <v>2</v>
      </c>
      <c r="R912" s="2" t="inlineStr">
        <is>
          <t>Skrovlig taggsvamp
Dropptaggsvamp</t>
        </is>
      </c>
      <c r="S912">
        <f>HYPERLINK("https://klasma.github.io/Logging_2481/artfynd/A 6526-2022 artfynd.xlsx", "A 6526-2022")</f>
        <v/>
      </c>
      <c r="T912">
        <f>HYPERLINK("https://klasma.github.io/Logging_2481/kartor/A 6526-2022 karta.png", "A 6526-2022")</f>
        <v/>
      </c>
      <c r="V912">
        <f>HYPERLINK("https://klasma.github.io/Logging_2481/klagomål/A 6526-2022 FSC-klagomål.docx", "A 6526-2022")</f>
        <v/>
      </c>
      <c r="W912">
        <f>HYPERLINK("https://klasma.github.io/Logging_2481/klagomålsmail/A 6526-2022 FSC-klagomål mail.docx", "A 6526-2022")</f>
        <v/>
      </c>
      <c r="X912">
        <f>HYPERLINK("https://klasma.github.io/Logging_2481/tillsyn/A 6526-2022 tillsynsbegäran.docx", "A 6526-2022")</f>
        <v/>
      </c>
      <c r="Y912">
        <f>HYPERLINK("https://klasma.github.io/Logging_2481/tillsynsmail/A 6526-2022 tillsynsbegäran mail.docx", "A 6526-2022")</f>
        <v/>
      </c>
    </row>
    <row r="913" ht="15" customHeight="1">
      <c r="A913" t="inlineStr">
        <is>
          <t>A 9771-2022</t>
        </is>
      </c>
      <c r="B913" s="1" t="n">
        <v>44619</v>
      </c>
      <c r="C913" s="1" t="n">
        <v>45788</v>
      </c>
      <c r="D913" t="inlineStr">
        <is>
          <t>VÄSTERBOTTENS LÄN</t>
        </is>
      </c>
      <c r="E913" t="inlineStr">
        <is>
          <t>UMEÅ</t>
        </is>
      </c>
      <c r="G913" t="n">
        <v>39.1</v>
      </c>
      <c r="H913" t="n">
        <v>0</v>
      </c>
      <c r="I913" t="n">
        <v>1</v>
      </c>
      <c r="J913" t="n">
        <v>1</v>
      </c>
      <c r="K913" t="n">
        <v>0</v>
      </c>
      <c r="L913" t="n">
        <v>0</v>
      </c>
      <c r="M913" t="n">
        <v>0</v>
      </c>
      <c r="N913" t="n">
        <v>0</v>
      </c>
      <c r="O913" t="n">
        <v>1</v>
      </c>
      <c r="P913" t="n">
        <v>0</v>
      </c>
      <c r="Q913" t="n">
        <v>2</v>
      </c>
      <c r="R913" s="2" t="inlineStr">
        <is>
          <t>Blå taggsvamp
Dropptaggsvamp</t>
        </is>
      </c>
      <c r="S913">
        <f>HYPERLINK("https://klasma.github.io/Logging_2480/artfynd/A 9771-2022 artfynd.xlsx", "A 9771-2022")</f>
        <v/>
      </c>
      <c r="T913">
        <f>HYPERLINK("https://klasma.github.io/Logging_2480/kartor/A 9771-2022 karta.png", "A 9771-2022")</f>
        <v/>
      </c>
      <c r="V913">
        <f>HYPERLINK("https://klasma.github.io/Logging_2480/klagomål/A 9771-2022 FSC-klagomål.docx", "A 9771-2022")</f>
        <v/>
      </c>
      <c r="W913">
        <f>HYPERLINK("https://klasma.github.io/Logging_2480/klagomålsmail/A 9771-2022 FSC-klagomål mail.docx", "A 9771-2022")</f>
        <v/>
      </c>
      <c r="X913">
        <f>HYPERLINK("https://klasma.github.io/Logging_2480/tillsyn/A 9771-2022 tillsynsbegäran.docx", "A 9771-2022")</f>
        <v/>
      </c>
      <c r="Y913">
        <f>HYPERLINK("https://klasma.github.io/Logging_2480/tillsynsmail/A 9771-2022 tillsynsbegäran mail.docx", "A 9771-2022")</f>
        <v/>
      </c>
    </row>
    <row r="914" ht="15" customHeight="1">
      <c r="A914" t="inlineStr">
        <is>
          <t>A 14070-2022</t>
        </is>
      </c>
      <c r="B914" s="1" t="n">
        <v>44650</v>
      </c>
      <c r="C914" s="1" t="n">
        <v>45788</v>
      </c>
      <c r="D914" t="inlineStr">
        <is>
          <t>VÄSTERBOTTENS LÄN</t>
        </is>
      </c>
      <c r="E914" t="inlineStr">
        <is>
          <t>STORUMAN</t>
        </is>
      </c>
      <c r="F914" t="inlineStr">
        <is>
          <t>Övriga statliga verk och myndigheter</t>
        </is>
      </c>
      <c r="G914" t="n">
        <v>14.1</v>
      </c>
      <c r="H914" t="n">
        <v>1</v>
      </c>
      <c r="I914" t="n">
        <v>0</v>
      </c>
      <c r="J914" t="n">
        <v>2</v>
      </c>
      <c r="K914" t="n">
        <v>0</v>
      </c>
      <c r="L914" t="n">
        <v>0</v>
      </c>
      <c r="M914" t="n">
        <v>0</v>
      </c>
      <c r="N914" t="n">
        <v>0</v>
      </c>
      <c r="O914" t="n">
        <v>2</v>
      </c>
      <c r="P914" t="n">
        <v>0</v>
      </c>
      <c r="Q914" t="n">
        <v>2</v>
      </c>
      <c r="R914" s="2" t="inlineStr">
        <is>
          <t>Granticka
Järpe</t>
        </is>
      </c>
      <c r="S914">
        <f>HYPERLINK("https://klasma.github.io/Logging_2421/artfynd/A 14070-2022 artfynd.xlsx", "A 14070-2022")</f>
        <v/>
      </c>
      <c r="T914">
        <f>HYPERLINK("https://klasma.github.io/Logging_2421/kartor/A 14070-2022 karta.png", "A 14070-2022")</f>
        <v/>
      </c>
      <c r="V914">
        <f>HYPERLINK("https://klasma.github.io/Logging_2421/klagomål/A 14070-2022 FSC-klagomål.docx", "A 14070-2022")</f>
        <v/>
      </c>
      <c r="W914">
        <f>HYPERLINK("https://klasma.github.io/Logging_2421/klagomålsmail/A 14070-2022 FSC-klagomål mail.docx", "A 14070-2022")</f>
        <v/>
      </c>
      <c r="X914">
        <f>HYPERLINK("https://klasma.github.io/Logging_2421/tillsyn/A 14070-2022 tillsynsbegäran.docx", "A 14070-2022")</f>
        <v/>
      </c>
      <c r="Y914">
        <f>HYPERLINK("https://klasma.github.io/Logging_2421/tillsynsmail/A 14070-2022 tillsynsbegäran mail.docx", "A 14070-2022")</f>
        <v/>
      </c>
      <c r="Z914">
        <f>HYPERLINK("https://klasma.github.io/Logging_2421/fåglar/A 14070-2022 prioriterade fågelarter.docx", "A 14070-2022")</f>
        <v/>
      </c>
    </row>
    <row r="915" ht="15" customHeight="1">
      <c r="A915" t="inlineStr">
        <is>
          <t>A 21668-2022</t>
        </is>
      </c>
      <c r="B915" s="1" t="n">
        <v>44706</v>
      </c>
      <c r="C915" s="1" t="n">
        <v>45788</v>
      </c>
      <c r="D915" t="inlineStr">
        <is>
          <t>VÄSTERBOTTENS LÄN</t>
        </is>
      </c>
      <c r="E915" t="inlineStr">
        <is>
          <t>LYCKSELE</t>
        </is>
      </c>
      <c r="F915" t="inlineStr">
        <is>
          <t>SCA</t>
        </is>
      </c>
      <c r="G915" t="n">
        <v>1</v>
      </c>
      <c r="H915" t="n">
        <v>0</v>
      </c>
      <c r="I915" t="n">
        <v>0</v>
      </c>
      <c r="J915" t="n">
        <v>2</v>
      </c>
      <c r="K915" t="n">
        <v>0</v>
      </c>
      <c r="L915" t="n">
        <v>0</v>
      </c>
      <c r="M915" t="n">
        <v>0</v>
      </c>
      <c r="N915" t="n">
        <v>0</v>
      </c>
      <c r="O915" t="n">
        <v>2</v>
      </c>
      <c r="P915" t="n">
        <v>0</v>
      </c>
      <c r="Q915" t="n">
        <v>2</v>
      </c>
      <c r="R915" s="2" t="inlineStr">
        <is>
          <t>Gammelgransskål
Granticka</t>
        </is>
      </c>
      <c r="S915">
        <f>HYPERLINK("https://klasma.github.io/Logging_2481/artfynd/A 21668-2022 artfynd.xlsx", "A 21668-2022")</f>
        <v/>
      </c>
      <c r="T915">
        <f>HYPERLINK("https://klasma.github.io/Logging_2481/kartor/A 21668-2022 karta.png", "A 21668-2022")</f>
        <v/>
      </c>
      <c r="V915">
        <f>HYPERLINK("https://klasma.github.io/Logging_2481/klagomål/A 21668-2022 FSC-klagomål.docx", "A 21668-2022")</f>
        <v/>
      </c>
      <c r="W915">
        <f>HYPERLINK("https://klasma.github.io/Logging_2481/klagomålsmail/A 21668-2022 FSC-klagomål mail.docx", "A 21668-2022")</f>
        <v/>
      </c>
      <c r="X915">
        <f>HYPERLINK("https://klasma.github.io/Logging_2481/tillsyn/A 21668-2022 tillsynsbegäran.docx", "A 21668-2022")</f>
        <v/>
      </c>
      <c r="Y915">
        <f>HYPERLINK("https://klasma.github.io/Logging_2481/tillsynsmail/A 21668-2022 tillsynsbegäran mail.docx", "A 21668-2022")</f>
        <v/>
      </c>
    </row>
    <row r="916" ht="15" customHeight="1">
      <c r="A916" t="inlineStr">
        <is>
          <t>A 25524-2022</t>
        </is>
      </c>
      <c r="B916" s="1" t="n">
        <v>44732</v>
      </c>
      <c r="C916" s="1" t="n">
        <v>45788</v>
      </c>
      <c r="D916" t="inlineStr">
        <is>
          <t>VÄSTERBOTTENS LÄN</t>
        </is>
      </c>
      <c r="E916" t="inlineStr">
        <is>
          <t>STORUMAN</t>
        </is>
      </c>
      <c r="F916" t="inlineStr">
        <is>
          <t>Sveaskog</t>
        </is>
      </c>
      <c r="G916" t="n">
        <v>3.8</v>
      </c>
      <c r="H916" t="n">
        <v>0</v>
      </c>
      <c r="I916" t="n">
        <v>0</v>
      </c>
      <c r="J916" t="n">
        <v>1</v>
      </c>
      <c r="K916" t="n">
        <v>1</v>
      </c>
      <c r="L916" t="n">
        <v>0</v>
      </c>
      <c r="M916" t="n">
        <v>0</v>
      </c>
      <c r="N916" t="n">
        <v>0</v>
      </c>
      <c r="O916" t="n">
        <v>2</v>
      </c>
      <c r="P916" t="n">
        <v>1</v>
      </c>
      <c r="Q916" t="n">
        <v>2</v>
      </c>
      <c r="R916" s="2" t="inlineStr">
        <is>
          <t>Grantickeporing
Granticka</t>
        </is>
      </c>
      <c r="S916">
        <f>HYPERLINK("https://klasma.github.io/Logging_2421/artfynd/A 25524-2022 artfynd.xlsx", "A 25524-2022")</f>
        <v/>
      </c>
      <c r="T916">
        <f>HYPERLINK("https://klasma.github.io/Logging_2421/kartor/A 25524-2022 karta.png", "A 25524-2022")</f>
        <v/>
      </c>
      <c r="V916">
        <f>HYPERLINK("https://klasma.github.io/Logging_2421/klagomål/A 25524-2022 FSC-klagomål.docx", "A 25524-2022")</f>
        <v/>
      </c>
      <c r="W916">
        <f>HYPERLINK("https://klasma.github.io/Logging_2421/klagomålsmail/A 25524-2022 FSC-klagomål mail.docx", "A 25524-2022")</f>
        <v/>
      </c>
      <c r="X916">
        <f>HYPERLINK("https://klasma.github.io/Logging_2421/tillsyn/A 25524-2022 tillsynsbegäran.docx", "A 25524-2022")</f>
        <v/>
      </c>
      <c r="Y916">
        <f>HYPERLINK("https://klasma.github.io/Logging_2421/tillsynsmail/A 25524-2022 tillsynsbegäran mail.docx", "A 25524-2022")</f>
        <v/>
      </c>
    </row>
    <row r="917" ht="15" customHeight="1">
      <c r="A917" t="inlineStr">
        <is>
          <t>A 32253-2022</t>
        </is>
      </c>
      <c r="B917" s="1" t="n">
        <v>44781</v>
      </c>
      <c r="C917" s="1" t="n">
        <v>45788</v>
      </c>
      <c r="D917" t="inlineStr">
        <is>
          <t>VÄSTERBOTTENS LÄN</t>
        </is>
      </c>
      <c r="E917" t="inlineStr">
        <is>
          <t>VILHELMINA</t>
        </is>
      </c>
      <c r="G917" t="n">
        <v>10.8</v>
      </c>
      <c r="H917" t="n">
        <v>0</v>
      </c>
      <c r="I917" t="n">
        <v>0</v>
      </c>
      <c r="J917" t="n">
        <v>1</v>
      </c>
      <c r="K917" t="n">
        <v>1</v>
      </c>
      <c r="L917" t="n">
        <v>0</v>
      </c>
      <c r="M917" t="n">
        <v>0</v>
      </c>
      <c r="N917" t="n">
        <v>0</v>
      </c>
      <c r="O917" t="n">
        <v>2</v>
      </c>
      <c r="P917" t="n">
        <v>1</v>
      </c>
      <c r="Q917" t="n">
        <v>2</v>
      </c>
      <c r="R917" s="2" t="inlineStr">
        <is>
          <t>Ostticka
Garnlav</t>
        </is>
      </c>
      <c r="S917">
        <f>HYPERLINK("https://klasma.github.io/Logging_2462/artfynd/A 32253-2022 artfynd.xlsx", "A 32253-2022")</f>
        <v/>
      </c>
      <c r="T917">
        <f>HYPERLINK("https://klasma.github.io/Logging_2462/kartor/A 32253-2022 karta.png", "A 32253-2022")</f>
        <v/>
      </c>
      <c r="V917">
        <f>HYPERLINK("https://klasma.github.io/Logging_2462/klagomål/A 32253-2022 FSC-klagomål.docx", "A 32253-2022")</f>
        <v/>
      </c>
      <c r="W917">
        <f>HYPERLINK("https://klasma.github.io/Logging_2462/klagomålsmail/A 32253-2022 FSC-klagomål mail.docx", "A 32253-2022")</f>
        <v/>
      </c>
      <c r="X917">
        <f>HYPERLINK("https://klasma.github.io/Logging_2462/tillsyn/A 32253-2022 tillsynsbegäran.docx", "A 32253-2022")</f>
        <v/>
      </c>
      <c r="Y917">
        <f>HYPERLINK("https://klasma.github.io/Logging_2462/tillsynsmail/A 32253-2022 tillsynsbegäran mail.docx", "A 32253-2022")</f>
        <v/>
      </c>
    </row>
    <row r="918" ht="15" customHeight="1">
      <c r="A918" t="inlineStr">
        <is>
          <t>A 39237-2022</t>
        </is>
      </c>
      <c r="B918" s="1" t="n">
        <v>44817</v>
      </c>
      <c r="C918" s="1" t="n">
        <v>45788</v>
      </c>
      <c r="D918" t="inlineStr">
        <is>
          <t>VÄSTERBOTTENS LÄN</t>
        </is>
      </c>
      <c r="E918" t="inlineStr">
        <is>
          <t>STORUMAN</t>
        </is>
      </c>
      <c r="F918" t="inlineStr">
        <is>
          <t>Sveaskog</t>
        </is>
      </c>
      <c r="G918" t="n">
        <v>1.1</v>
      </c>
      <c r="H918" t="n">
        <v>1</v>
      </c>
      <c r="I918" t="n">
        <v>1</v>
      </c>
      <c r="J918" t="n">
        <v>0</v>
      </c>
      <c r="K918" t="n">
        <v>0</v>
      </c>
      <c r="L918" t="n">
        <v>0</v>
      </c>
      <c r="M918" t="n">
        <v>0</v>
      </c>
      <c r="N918" t="n">
        <v>0</v>
      </c>
      <c r="O918" t="n">
        <v>0</v>
      </c>
      <c r="P918" t="n">
        <v>0</v>
      </c>
      <c r="Q918" t="n">
        <v>2</v>
      </c>
      <c r="R918" s="2" t="inlineStr">
        <is>
          <t>Skarp dropptaggsvamp
Lavskrika</t>
        </is>
      </c>
      <c r="S918">
        <f>HYPERLINK("https://klasma.github.io/Logging_2421/artfynd/A 39237-2022 artfynd.xlsx", "A 39237-2022")</f>
        <v/>
      </c>
      <c r="T918">
        <f>HYPERLINK("https://klasma.github.io/Logging_2421/kartor/A 39237-2022 karta.png", "A 39237-2022")</f>
        <v/>
      </c>
      <c r="V918">
        <f>HYPERLINK("https://klasma.github.io/Logging_2421/klagomål/A 39237-2022 FSC-klagomål.docx", "A 39237-2022")</f>
        <v/>
      </c>
      <c r="W918">
        <f>HYPERLINK("https://klasma.github.io/Logging_2421/klagomålsmail/A 39237-2022 FSC-klagomål mail.docx", "A 39237-2022")</f>
        <v/>
      </c>
      <c r="X918">
        <f>HYPERLINK("https://klasma.github.io/Logging_2421/tillsyn/A 39237-2022 tillsynsbegäran.docx", "A 39237-2022")</f>
        <v/>
      </c>
      <c r="Y918">
        <f>HYPERLINK("https://klasma.github.io/Logging_2421/tillsynsmail/A 39237-2022 tillsynsbegäran mail.docx", "A 39237-2022")</f>
        <v/>
      </c>
      <c r="Z918">
        <f>HYPERLINK("https://klasma.github.io/Logging_2421/fåglar/A 39237-2022 prioriterade fågelarter.docx", "A 39237-2022")</f>
        <v/>
      </c>
    </row>
    <row r="919" ht="15" customHeight="1">
      <c r="A919" t="inlineStr">
        <is>
          <t>A 42694-2022</t>
        </is>
      </c>
      <c r="B919" s="1" t="n">
        <v>44831</v>
      </c>
      <c r="C919" s="1" t="n">
        <v>45788</v>
      </c>
      <c r="D919" t="inlineStr">
        <is>
          <t>VÄSTERBOTTENS LÄN</t>
        </is>
      </c>
      <c r="E919" t="inlineStr">
        <is>
          <t>SKELLEFTEÅ</t>
        </is>
      </c>
      <c r="G919" t="n">
        <v>5.6</v>
      </c>
      <c r="H919" t="n">
        <v>0</v>
      </c>
      <c r="I919" t="n">
        <v>1</v>
      </c>
      <c r="J919" t="n">
        <v>1</v>
      </c>
      <c r="K919" t="n">
        <v>0</v>
      </c>
      <c r="L919" t="n">
        <v>0</v>
      </c>
      <c r="M919" t="n">
        <v>0</v>
      </c>
      <c r="N919" t="n">
        <v>0</v>
      </c>
      <c r="O919" t="n">
        <v>1</v>
      </c>
      <c r="P919" t="n">
        <v>0</v>
      </c>
      <c r="Q919" t="n">
        <v>2</v>
      </c>
      <c r="R919" s="2" t="inlineStr">
        <is>
          <t>Granticka
Vedticka</t>
        </is>
      </c>
      <c r="S919">
        <f>HYPERLINK("https://klasma.github.io/Logging_2482/artfynd/A 42694-2022 artfynd.xlsx", "A 42694-2022")</f>
        <v/>
      </c>
      <c r="T919">
        <f>HYPERLINK("https://klasma.github.io/Logging_2482/kartor/A 42694-2022 karta.png", "A 42694-2022")</f>
        <v/>
      </c>
      <c r="V919">
        <f>HYPERLINK("https://klasma.github.io/Logging_2482/klagomål/A 42694-2022 FSC-klagomål.docx", "A 42694-2022")</f>
        <v/>
      </c>
      <c r="W919">
        <f>HYPERLINK("https://klasma.github.io/Logging_2482/klagomålsmail/A 42694-2022 FSC-klagomål mail.docx", "A 42694-2022")</f>
        <v/>
      </c>
      <c r="X919">
        <f>HYPERLINK("https://klasma.github.io/Logging_2482/tillsyn/A 42694-2022 tillsynsbegäran.docx", "A 42694-2022")</f>
        <v/>
      </c>
      <c r="Y919">
        <f>HYPERLINK("https://klasma.github.io/Logging_2482/tillsynsmail/A 42694-2022 tillsynsbegäran mail.docx", "A 42694-2022")</f>
        <v/>
      </c>
    </row>
    <row r="920" ht="15" customHeight="1">
      <c r="A920" t="inlineStr">
        <is>
          <t>A 42950-2022</t>
        </is>
      </c>
      <c r="B920" s="1" t="n">
        <v>44832</v>
      </c>
      <c r="C920" s="1" t="n">
        <v>45788</v>
      </c>
      <c r="D920" t="inlineStr">
        <is>
          <t>VÄSTERBOTTENS LÄN</t>
        </is>
      </c>
      <c r="E920" t="inlineStr">
        <is>
          <t>NORSJÖ</t>
        </is>
      </c>
      <c r="G920" t="n">
        <v>5.2</v>
      </c>
      <c r="H920" t="n">
        <v>1</v>
      </c>
      <c r="I920" t="n">
        <v>0</v>
      </c>
      <c r="J920" t="n">
        <v>1</v>
      </c>
      <c r="K920" t="n">
        <v>0</v>
      </c>
      <c r="L920" t="n">
        <v>0</v>
      </c>
      <c r="M920" t="n">
        <v>0</v>
      </c>
      <c r="N920" t="n">
        <v>0</v>
      </c>
      <c r="O920" t="n">
        <v>1</v>
      </c>
      <c r="P920" t="n">
        <v>0</v>
      </c>
      <c r="Q920" t="n">
        <v>2</v>
      </c>
      <c r="R920" s="2" t="inlineStr">
        <is>
          <t>Lunglav
Trana</t>
        </is>
      </c>
      <c r="S920">
        <f>HYPERLINK("https://klasma.github.io/Logging_2417/artfynd/A 42950-2022 artfynd.xlsx", "A 42950-2022")</f>
        <v/>
      </c>
      <c r="T920">
        <f>HYPERLINK("https://klasma.github.io/Logging_2417/kartor/A 42950-2022 karta.png", "A 42950-2022")</f>
        <v/>
      </c>
      <c r="V920">
        <f>HYPERLINK("https://klasma.github.io/Logging_2417/klagomål/A 42950-2022 FSC-klagomål.docx", "A 42950-2022")</f>
        <v/>
      </c>
      <c r="W920">
        <f>HYPERLINK("https://klasma.github.io/Logging_2417/klagomålsmail/A 42950-2022 FSC-klagomål mail.docx", "A 42950-2022")</f>
        <v/>
      </c>
      <c r="X920">
        <f>HYPERLINK("https://klasma.github.io/Logging_2417/tillsyn/A 42950-2022 tillsynsbegäran.docx", "A 42950-2022")</f>
        <v/>
      </c>
      <c r="Y920">
        <f>HYPERLINK("https://klasma.github.io/Logging_2417/tillsynsmail/A 42950-2022 tillsynsbegäran mail.docx", "A 42950-2022")</f>
        <v/>
      </c>
      <c r="Z920">
        <f>HYPERLINK("https://klasma.github.io/Logging_2417/fåglar/A 42950-2022 prioriterade fågelarter.docx", "A 42950-2022")</f>
        <v/>
      </c>
    </row>
    <row r="921" ht="15" customHeight="1">
      <c r="A921" t="inlineStr">
        <is>
          <t>A 44222-2022</t>
        </is>
      </c>
      <c r="B921" s="1" t="n">
        <v>44839</v>
      </c>
      <c r="C921" s="1" t="n">
        <v>45788</v>
      </c>
      <c r="D921" t="inlineStr">
        <is>
          <t>VÄSTERBOTTENS LÄN</t>
        </is>
      </c>
      <c r="E921" t="inlineStr">
        <is>
          <t>ROBERTSFORS</t>
        </is>
      </c>
      <c r="F921" t="inlineStr">
        <is>
          <t>Holmen skog AB</t>
        </is>
      </c>
      <c r="G921" t="n">
        <v>23.5</v>
      </c>
      <c r="H921" t="n">
        <v>1</v>
      </c>
      <c r="I921" t="n">
        <v>0</v>
      </c>
      <c r="J921" t="n">
        <v>2</v>
      </c>
      <c r="K921" t="n">
        <v>0</v>
      </c>
      <c r="L921" t="n">
        <v>0</v>
      </c>
      <c r="M921" t="n">
        <v>0</v>
      </c>
      <c r="N921" t="n">
        <v>0</v>
      </c>
      <c r="O921" t="n">
        <v>2</v>
      </c>
      <c r="P921" t="n">
        <v>0</v>
      </c>
      <c r="Q921" t="n">
        <v>2</v>
      </c>
      <c r="R921" s="2" t="inlineStr">
        <is>
          <t>Järpe
Kortskaftad ärgspik</t>
        </is>
      </c>
      <c r="S921">
        <f>HYPERLINK("https://klasma.github.io/Logging_2409/artfynd/A 44222-2022 artfynd.xlsx", "A 44222-2022")</f>
        <v/>
      </c>
      <c r="T921">
        <f>HYPERLINK("https://klasma.github.io/Logging_2409/kartor/A 44222-2022 karta.png", "A 44222-2022")</f>
        <v/>
      </c>
      <c r="V921">
        <f>HYPERLINK("https://klasma.github.io/Logging_2409/klagomål/A 44222-2022 FSC-klagomål.docx", "A 44222-2022")</f>
        <v/>
      </c>
      <c r="W921">
        <f>HYPERLINK("https://klasma.github.io/Logging_2409/klagomålsmail/A 44222-2022 FSC-klagomål mail.docx", "A 44222-2022")</f>
        <v/>
      </c>
      <c r="X921">
        <f>HYPERLINK("https://klasma.github.io/Logging_2409/tillsyn/A 44222-2022 tillsynsbegäran.docx", "A 44222-2022")</f>
        <v/>
      </c>
      <c r="Y921">
        <f>HYPERLINK("https://klasma.github.io/Logging_2409/tillsynsmail/A 44222-2022 tillsynsbegäran mail.docx", "A 44222-2022")</f>
        <v/>
      </c>
      <c r="Z921">
        <f>HYPERLINK("https://klasma.github.io/Logging_2409/fåglar/A 44222-2022 prioriterade fågelarter.docx", "A 44222-2022")</f>
        <v/>
      </c>
    </row>
    <row r="922" ht="15" customHeight="1">
      <c r="A922" t="inlineStr">
        <is>
          <t>A 44687-2022</t>
        </is>
      </c>
      <c r="B922" s="1" t="n">
        <v>44839</v>
      </c>
      <c r="C922" s="1" t="n">
        <v>45788</v>
      </c>
      <c r="D922" t="inlineStr">
        <is>
          <t>VÄSTERBOTTENS LÄN</t>
        </is>
      </c>
      <c r="E922" t="inlineStr">
        <is>
          <t>UMEÅ</t>
        </is>
      </c>
      <c r="G922" t="n">
        <v>2.3</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44687-2022 artfynd.xlsx", "A 44687-2022")</f>
        <v/>
      </c>
      <c r="T922">
        <f>HYPERLINK("https://klasma.github.io/Logging_2480/kartor/A 44687-2022 karta.png", "A 44687-2022")</f>
        <v/>
      </c>
      <c r="V922">
        <f>HYPERLINK("https://klasma.github.io/Logging_2480/klagomål/A 44687-2022 FSC-klagomål.docx", "A 44687-2022")</f>
        <v/>
      </c>
      <c r="W922">
        <f>HYPERLINK("https://klasma.github.io/Logging_2480/klagomålsmail/A 44687-2022 FSC-klagomål mail.docx", "A 44687-2022")</f>
        <v/>
      </c>
      <c r="X922">
        <f>HYPERLINK("https://klasma.github.io/Logging_2480/tillsyn/A 44687-2022 tillsynsbegäran.docx", "A 44687-2022")</f>
        <v/>
      </c>
      <c r="Y922">
        <f>HYPERLINK("https://klasma.github.io/Logging_2480/tillsynsmail/A 44687-2022 tillsynsbegäran mail.docx", "A 44687-2022")</f>
        <v/>
      </c>
    </row>
    <row r="923" ht="15" customHeight="1">
      <c r="A923" t="inlineStr">
        <is>
          <t>A 45569-2022</t>
        </is>
      </c>
      <c r="B923" s="1" t="n">
        <v>44841</v>
      </c>
      <c r="C923" s="1" t="n">
        <v>45788</v>
      </c>
      <c r="D923" t="inlineStr">
        <is>
          <t>VÄSTERBOTTENS LÄN</t>
        </is>
      </c>
      <c r="E923" t="inlineStr">
        <is>
          <t>SORSELE</t>
        </is>
      </c>
      <c r="G923" t="n">
        <v>55.7</v>
      </c>
      <c r="H923" t="n">
        <v>0</v>
      </c>
      <c r="I923" t="n">
        <v>0</v>
      </c>
      <c r="J923" t="n">
        <v>2</v>
      </c>
      <c r="K923" t="n">
        <v>0</v>
      </c>
      <c r="L923" t="n">
        <v>0</v>
      </c>
      <c r="M923" t="n">
        <v>0</v>
      </c>
      <c r="N923" t="n">
        <v>0</v>
      </c>
      <c r="O923" t="n">
        <v>2</v>
      </c>
      <c r="P923" t="n">
        <v>0</v>
      </c>
      <c r="Q923" t="n">
        <v>2</v>
      </c>
      <c r="R923" s="2" t="inlineStr">
        <is>
          <t>Gränsticka
Harticka</t>
        </is>
      </c>
      <c r="S923">
        <f>HYPERLINK("https://klasma.github.io/Logging_2422/artfynd/A 45569-2022 artfynd.xlsx", "A 45569-2022")</f>
        <v/>
      </c>
      <c r="T923">
        <f>HYPERLINK("https://klasma.github.io/Logging_2422/kartor/A 45569-2022 karta.png", "A 45569-2022")</f>
        <v/>
      </c>
      <c r="V923">
        <f>HYPERLINK("https://klasma.github.io/Logging_2422/klagomål/A 45569-2022 FSC-klagomål.docx", "A 45569-2022")</f>
        <v/>
      </c>
      <c r="W923">
        <f>HYPERLINK("https://klasma.github.io/Logging_2422/klagomålsmail/A 45569-2022 FSC-klagomål mail.docx", "A 45569-2022")</f>
        <v/>
      </c>
      <c r="X923">
        <f>HYPERLINK("https://klasma.github.io/Logging_2422/tillsyn/A 45569-2022 tillsynsbegäran.docx", "A 45569-2022")</f>
        <v/>
      </c>
      <c r="Y923">
        <f>HYPERLINK("https://klasma.github.io/Logging_2422/tillsynsmail/A 45569-2022 tillsynsbegäran mail.docx", "A 45569-2022")</f>
        <v/>
      </c>
    </row>
    <row r="924" ht="15" customHeight="1">
      <c r="A924" t="inlineStr">
        <is>
          <t>A 45356-2022</t>
        </is>
      </c>
      <c r="B924" s="1" t="n">
        <v>44844</v>
      </c>
      <c r="C924" s="1" t="n">
        <v>45788</v>
      </c>
      <c r="D924" t="inlineStr">
        <is>
          <t>VÄSTERBOTTENS LÄN</t>
        </is>
      </c>
      <c r="E924" t="inlineStr">
        <is>
          <t>NORDMALING</t>
        </is>
      </c>
      <c r="G924" t="n">
        <v>2.1</v>
      </c>
      <c r="H924" t="n">
        <v>0</v>
      </c>
      <c r="I924" t="n">
        <v>1</v>
      </c>
      <c r="J924" t="n">
        <v>1</v>
      </c>
      <c r="K924" t="n">
        <v>0</v>
      </c>
      <c r="L924" t="n">
        <v>0</v>
      </c>
      <c r="M924" t="n">
        <v>0</v>
      </c>
      <c r="N924" t="n">
        <v>0</v>
      </c>
      <c r="O924" t="n">
        <v>1</v>
      </c>
      <c r="P924" t="n">
        <v>0</v>
      </c>
      <c r="Q924" t="n">
        <v>2</v>
      </c>
      <c r="R924" s="2" t="inlineStr">
        <is>
          <t>Garnlav
Skinnlav</t>
        </is>
      </c>
      <c r="S924">
        <f>HYPERLINK("https://klasma.github.io/Logging_2401/artfynd/A 45356-2022 artfynd.xlsx", "A 45356-2022")</f>
        <v/>
      </c>
      <c r="T924">
        <f>HYPERLINK("https://klasma.github.io/Logging_2401/kartor/A 45356-2022 karta.png", "A 45356-2022")</f>
        <v/>
      </c>
      <c r="V924">
        <f>HYPERLINK("https://klasma.github.io/Logging_2401/klagomål/A 45356-2022 FSC-klagomål.docx", "A 45356-2022")</f>
        <v/>
      </c>
      <c r="W924">
        <f>HYPERLINK("https://klasma.github.io/Logging_2401/klagomålsmail/A 45356-2022 FSC-klagomål mail.docx", "A 45356-2022")</f>
        <v/>
      </c>
      <c r="X924">
        <f>HYPERLINK("https://klasma.github.io/Logging_2401/tillsyn/A 45356-2022 tillsynsbegäran.docx", "A 45356-2022")</f>
        <v/>
      </c>
      <c r="Y924">
        <f>HYPERLINK("https://klasma.github.io/Logging_2401/tillsynsmail/A 45356-2022 tillsynsbegäran mail.docx", "A 45356-2022")</f>
        <v/>
      </c>
    </row>
    <row r="925" ht="15" customHeight="1">
      <c r="A925" t="inlineStr">
        <is>
          <t>A 47362-2022</t>
        </is>
      </c>
      <c r="B925" s="1" t="n">
        <v>44853</v>
      </c>
      <c r="C925" s="1" t="n">
        <v>45788</v>
      </c>
      <c r="D925" t="inlineStr">
        <is>
          <t>VÄSTERBOTTENS LÄN</t>
        </is>
      </c>
      <c r="E925" t="inlineStr">
        <is>
          <t>NORSJÖ</t>
        </is>
      </c>
      <c r="G925" t="n">
        <v>1.4</v>
      </c>
      <c r="H925" t="n">
        <v>0</v>
      </c>
      <c r="I925" t="n">
        <v>0</v>
      </c>
      <c r="J925" t="n">
        <v>2</v>
      </c>
      <c r="K925" t="n">
        <v>0</v>
      </c>
      <c r="L925" t="n">
        <v>0</v>
      </c>
      <c r="M925" t="n">
        <v>0</v>
      </c>
      <c r="N925" t="n">
        <v>0</v>
      </c>
      <c r="O925" t="n">
        <v>2</v>
      </c>
      <c r="P925" t="n">
        <v>0</v>
      </c>
      <c r="Q925" t="n">
        <v>2</v>
      </c>
      <c r="R925" s="2" t="inlineStr">
        <is>
          <t>Lunglav
Ullticka</t>
        </is>
      </c>
      <c r="S925">
        <f>HYPERLINK("https://klasma.github.io/Logging_2417/artfynd/A 47362-2022 artfynd.xlsx", "A 47362-2022")</f>
        <v/>
      </c>
      <c r="T925">
        <f>HYPERLINK("https://klasma.github.io/Logging_2417/kartor/A 47362-2022 karta.png", "A 47362-2022")</f>
        <v/>
      </c>
      <c r="V925">
        <f>HYPERLINK("https://klasma.github.io/Logging_2417/klagomål/A 47362-2022 FSC-klagomål.docx", "A 47362-2022")</f>
        <v/>
      </c>
      <c r="W925">
        <f>HYPERLINK("https://klasma.github.io/Logging_2417/klagomålsmail/A 47362-2022 FSC-klagomål mail.docx", "A 47362-2022")</f>
        <v/>
      </c>
      <c r="X925">
        <f>HYPERLINK("https://klasma.github.io/Logging_2417/tillsyn/A 47362-2022 tillsynsbegäran.docx", "A 47362-2022")</f>
        <v/>
      </c>
      <c r="Y925">
        <f>HYPERLINK("https://klasma.github.io/Logging_2417/tillsynsmail/A 47362-2022 tillsynsbegäran mail.docx", "A 47362-2022")</f>
        <v/>
      </c>
    </row>
    <row r="926" ht="15" customHeight="1">
      <c r="A926" t="inlineStr">
        <is>
          <t>A 48951-2022</t>
        </is>
      </c>
      <c r="B926" s="1" t="n">
        <v>44860</v>
      </c>
      <c r="C926" s="1" t="n">
        <v>45788</v>
      </c>
      <c r="D926" t="inlineStr">
        <is>
          <t>VÄSTERBOTTENS LÄN</t>
        </is>
      </c>
      <c r="E926" t="inlineStr">
        <is>
          <t>NORDMALING</t>
        </is>
      </c>
      <c r="F926" t="inlineStr">
        <is>
          <t>SCA</t>
        </is>
      </c>
      <c r="G926" t="n">
        <v>2.6</v>
      </c>
      <c r="H926" t="n">
        <v>0</v>
      </c>
      <c r="I926" t="n">
        <v>0</v>
      </c>
      <c r="J926" t="n">
        <v>2</v>
      </c>
      <c r="K926" t="n">
        <v>0</v>
      </c>
      <c r="L926" t="n">
        <v>0</v>
      </c>
      <c r="M926" t="n">
        <v>0</v>
      </c>
      <c r="N926" t="n">
        <v>0</v>
      </c>
      <c r="O926" t="n">
        <v>2</v>
      </c>
      <c r="P926" t="n">
        <v>0</v>
      </c>
      <c r="Q926" t="n">
        <v>2</v>
      </c>
      <c r="R926" s="2" t="inlineStr">
        <is>
          <t>Gammelgransskål
Ullticka</t>
        </is>
      </c>
      <c r="S926">
        <f>HYPERLINK("https://klasma.github.io/Logging_2401/artfynd/A 48951-2022 artfynd.xlsx", "A 48951-2022")</f>
        <v/>
      </c>
      <c r="T926">
        <f>HYPERLINK("https://klasma.github.io/Logging_2401/kartor/A 48951-2022 karta.png", "A 48951-2022")</f>
        <v/>
      </c>
      <c r="V926">
        <f>HYPERLINK("https://klasma.github.io/Logging_2401/klagomål/A 48951-2022 FSC-klagomål.docx", "A 48951-2022")</f>
        <v/>
      </c>
      <c r="W926">
        <f>HYPERLINK("https://klasma.github.io/Logging_2401/klagomålsmail/A 48951-2022 FSC-klagomål mail.docx", "A 48951-2022")</f>
        <v/>
      </c>
      <c r="X926">
        <f>HYPERLINK("https://klasma.github.io/Logging_2401/tillsyn/A 48951-2022 tillsynsbegäran.docx", "A 48951-2022")</f>
        <v/>
      </c>
      <c r="Y926">
        <f>HYPERLINK("https://klasma.github.io/Logging_2401/tillsynsmail/A 48951-2022 tillsynsbegäran mail.docx", "A 48951-2022")</f>
        <v/>
      </c>
    </row>
    <row r="927" ht="15" customHeight="1">
      <c r="A927" t="inlineStr">
        <is>
          <t>A 49440-2022</t>
        </is>
      </c>
      <c r="B927" s="1" t="n">
        <v>44859</v>
      </c>
      <c r="C927" s="1" t="n">
        <v>45788</v>
      </c>
      <c r="D927" t="inlineStr">
        <is>
          <t>VÄSTERBOTTENS LÄN</t>
        </is>
      </c>
      <c r="E927" t="inlineStr">
        <is>
          <t>SKELLEFTEÅ</t>
        </is>
      </c>
      <c r="G927" t="n">
        <v>1.5</v>
      </c>
      <c r="H927" t="n">
        <v>0</v>
      </c>
      <c r="I927" t="n">
        <v>0</v>
      </c>
      <c r="J927" t="n">
        <v>2</v>
      </c>
      <c r="K927" t="n">
        <v>0</v>
      </c>
      <c r="L927" t="n">
        <v>0</v>
      </c>
      <c r="M927" t="n">
        <v>0</v>
      </c>
      <c r="N927" t="n">
        <v>0</v>
      </c>
      <c r="O927" t="n">
        <v>2</v>
      </c>
      <c r="P927" t="n">
        <v>0</v>
      </c>
      <c r="Q927" t="n">
        <v>2</v>
      </c>
      <c r="R927" s="2" t="inlineStr">
        <is>
          <t>Gränsticka
Ullticka</t>
        </is>
      </c>
      <c r="S927">
        <f>HYPERLINK("https://klasma.github.io/Logging_2482/artfynd/A 49440-2022 artfynd.xlsx", "A 49440-2022")</f>
        <v/>
      </c>
      <c r="T927">
        <f>HYPERLINK("https://klasma.github.io/Logging_2482/kartor/A 49440-2022 karta.png", "A 49440-2022")</f>
        <v/>
      </c>
      <c r="V927">
        <f>HYPERLINK("https://klasma.github.io/Logging_2482/klagomål/A 49440-2022 FSC-klagomål.docx", "A 49440-2022")</f>
        <v/>
      </c>
      <c r="W927">
        <f>HYPERLINK("https://klasma.github.io/Logging_2482/klagomålsmail/A 49440-2022 FSC-klagomål mail.docx", "A 49440-2022")</f>
        <v/>
      </c>
      <c r="X927">
        <f>HYPERLINK("https://klasma.github.io/Logging_2482/tillsyn/A 49440-2022 tillsynsbegäran.docx", "A 49440-2022")</f>
        <v/>
      </c>
      <c r="Y927">
        <f>HYPERLINK("https://klasma.github.io/Logging_2482/tillsynsmail/A 49440-2022 tillsynsbegäran mail.docx", "A 49440-2022")</f>
        <v/>
      </c>
    </row>
    <row r="928" ht="15" customHeight="1">
      <c r="A928" t="inlineStr">
        <is>
          <t>A 49064-2022</t>
        </is>
      </c>
      <c r="B928" s="1" t="n">
        <v>44860</v>
      </c>
      <c r="C928" s="1" t="n">
        <v>45788</v>
      </c>
      <c r="D928" t="inlineStr">
        <is>
          <t>VÄSTERBOTTENS LÄN</t>
        </is>
      </c>
      <c r="E928" t="inlineStr">
        <is>
          <t>ÅSELE</t>
        </is>
      </c>
      <c r="F928" t="inlineStr">
        <is>
          <t>Sveaskog</t>
        </is>
      </c>
      <c r="G928" t="n">
        <v>15.4</v>
      </c>
      <c r="H928" t="n">
        <v>0</v>
      </c>
      <c r="I928" t="n">
        <v>1</v>
      </c>
      <c r="J928" t="n">
        <v>1</v>
      </c>
      <c r="K928" t="n">
        <v>0</v>
      </c>
      <c r="L928" t="n">
        <v>0</v>
      </c>
      <c r="M928" t="n">
        <v>0</v>
      </c>
      <c r="N928" t="n">
        <v>0</v>
      </c>
      <c r="O928" t="n">
        <v>1</v>
      </c>
      <c r="P928" t="n">
        <v>0</v>
      </c>
      <c r="Q928" t="n">
        <v>2</v>
      </c>
      <c r="R928" s="2" t="inlineStr">
        <is>
          <t>Granticka
Dropptaggsvamp</t>
        </is>
      </c>
      <c r="S928">
        <f>HYPERLINK("https://klasma.github.io/Logging_2463/artfynd/A 49064-2022 artfynd.xlsx", "A 49064-2022")</f>
        <v/>
      </c>
      <c r="T928">
        <f>HYPERLINK("https://klasma.github.io/Logging_2463/kartor/A 49064-2022 karta.png", "A 49064-2022")</f>
        <v/>
      </c>
      <c r="V928">
        <f>HYPERLINK("https://klasma.github.io/Logging_2463/klagomål/A 49064-2022 FSC-klagomål.docx", "A 49064-2022")</f>
        <v/>
      </c>
      <c r="W928">
        <f>HYPERLINK("https://klasma.github.io/Logging_2463/klagomålsmail/A 49064-2022 FSC-klagomål mail.docx", "A 49064-2022")</f>
        <v/>
      </c>
      <c r="X928">
        <f>HYPERLINK("https://klasma.github.io/Logging_2463/tillsyn/A 49064-2022 tillsynsbegäran.docx", "A 49064-2022")</f>
        <v/>
      </c>
      <c r="Y928">
        <f>HYPERLINK("https://klasma.github.io/Logging_2463/tillsynsmail/A 49064-2022 tillsynsbegäran mail.docx", "A 49064-2022")</f>
        <v/>
      </c>
    </row>
    <row r="929" ht="15" customHeight="1">
      <c r="A929" t="inlineStr">
        <is>
          <t>A 49578-2022</t>
        </is>
      </c>
      <c r="B929" s="1" t="n">
        <v>44862</v>
      </c>
      <c r="C929" s="1" t="n">
        <v>45788</v>
      </c>
      <c r="D929" t="inlineStr">
        <is>
          <t>VÄSTERBOTTENS LÄN</t>
        </is>
      </c>
      <c r="E929" t="inlineStr">
        <is>
          <t>SKELLEFTEÅ</t>
        </is>
      </c>
      <c r="F929" t="inlineStr">
        <is>
          <t>Holmen skog AB</t>
        </is>
      </c>
      <c r="G929" t="n">
        <v>7.6</v>
      </c>
      <c r="H929" t="n">
        <v>2</v>
      </c>
      <c r="I929" t="n">
        <v>0</v>
      </c>
      <c r="J929" t="n">
        <v>0</v>
      </c>
      <c r="K929" t="n">
        <v>0</v>
      </c>
      <c r="L929" t="n">
        <v>0</v>
      </c>
      <c r="M929" t="n">
        <v>0</v>
      </c>
      <c r="N929" t="n">
        <v>0</v>
      </c>
      <c r="O929" t="n">
        <v>0</v>
      </c>
      <c r="P929" t="n">
        <v>0</v>
      </c>
      <c r="Q929" t="n">
        <v>2</v>
      </c>
      <c r="R929" s="2" t="inlineStr">
        <is>
          <t>Orre
Tjäder</t>
        </is>
      </c>
      <c r="S929">
        <f>HYPERLINK("https://klasma.github.io/Logging_2482/artfynd/A 49578-2022 artfynd.xlsx", "A 49578-2022")</f>
        <v/>
      </c>
      <c r="T929">
        <f>HYPERLINK("https://klasma.github.io/Logging_2482/kartor/A 49578-2022 karta.png", "A 49578-2022")</f>
        <v/>
      </c>
      <c r="V929">
        <f>HYPERLINK("https://klasma.github.io/Logging_2482/klagomål/A 49578-2022 FSC-klagomål.docx", "A 49578-2022")</f>
        <v/>
      </c>
      <c r="W929">
        <f>HYPERLINK("https://klasma.github.io/Logging_2482/klagomålsmail/A 49578-2022 FSC-klagomål mail.docx", "A 49578-2022")</f>
        <v/>
      </c>
      <c r="X929">
        <f>HYPERLINK("https://klasma.github.io/Logging_2482/tillsyn/A 49578-2022 tillsynsbegäran.docx", "A 49578-2022")</f>
        <v/>
      </c>
      <c r="Y929">
        <f>HYPERLINK("https://klasma.github.io/Logging_2482/tillsynsmail/A 49578-2022 tillsynsbegäran mail.docx", "A 49578-2022")</f>
        <v/>
      </c>
      <c r="Z929">
        <f>HYPERLINK("https://klasma.github.io/Logging_2482/fåglar/A 49578-2022 prioriterade fågelarter.docx", "A 49578-2022")</f>
        <v/>
      </c>
    </row>
    <row r="930" ht="15" customHeight="1">
      <c r="A930" t="inlineStr">
        <is>
          <t>A 51549-2022</t>
        </is>
      </c>
      <c r="B930" s="1" t="n">
        <v>44869</v>
      </c>
      <c r="C930" s="1" t="n">
        <v>45788</v>
      </c>
      <c r="D930" t="inlineStr">
        <is>
          <t>VÄSTERBOTTENS LÄN</t>
        </is>
      </c>
      <c r="E930" t="inlineStr">
        <is>
          <t>VINDELN</t>
        </is>
      </c>
      <c r="F930" t="inlineStr">
        <is>
          <t>SCA</t>
        </is>
      </c>
      <c r="G930" t="n">
        <v>9.9</v>
      </c>
      <c r="H930" t="n">
        <v>0</v>
      </c>
      <c r="I930" t="n">
        <v>0</v>
      </c>
      <c r="J930" t="n">
        <v>2</v>
      </c>
      <c r="K930" t="n">
        <v>0</v>
      </c>
      <c r="L930" t="n">
        <v>0</v>
      </c>
      <c r="M930" t="n">
        <v>0</v>
      </c>
      <c r="N930" t="n">
        <v>0</v>
      </c>
      <c r="O930" t="n">
        <v>2</v>
      </c>
      <c r="P930" t="n">
        <v>0</v>
      </c>
      <c r="Q930" t="n">
        <v>2</v>
      </c>
      <c r="R930" s="2" t="inlineStr">
        <is>
          <t>Blå taggsvamp
Orange taggsvamp</t>
        </is>
      </c>
      <c r="S930">
        <f>HYPERLINK("https://klasma.github.io/Logging_2404/artfynd/A 51549-2022 artfynd.xlsx", "A 51549-2022")</f>
        <v/>
      </c>
      <c r="T930">
        <f>HYPERLINK("https://klasma.github.io/Logging_2404/kartor/A 51549-2022 karta.png", "A 51549-2022")</f>
        <v/>
      </c>
      <c r="V930">
        <f>HYPERLINK("https://klasma.github.io/Logging_2404/klagomål/A 51549-2022 FSC-klagomål.docx", "A 51549-2022")</f>
        <v/>
      </c>
      <c r="W930">
        <f>HYPERLINK("https://klasma.github.io/Logging_2404/klagomålsmail/A 51549-2022 FSC-klagomål mail.docx", "A 51549-2022")</f>
        <v/>
      </c>
      <c r="X930">
        <f>HYPERLINK("https://klasma.github.io/Logging_2404/tillsyn/A 51549-2022 tillsynsbegäran.docx", "A 51549-2022")</f>
        <v/>
      </c>
      <c r="Y930">
        <f>HYPERLINK("https://klasma.github.io/Logging_2404/tillsynsmail/A 51549-2022 tillsynsbegäran mail.docx", "A 51549-2022")</f>
        <v/>
      </c>
    </row>
    <row r="931" ht="15" customHeight="1">
      <c r="A931" t="inlineStr">
        <is>
          <t>A 51945-2022</t>
        </is>
      </c>
      <c r="B931" s="1" t="n">
        <v>44872</v>
      </c>
      <c r="C931" s="1" t="n">
        <v>45788</v>
      </c>
      <c r="D931" t="inlineStr">
        <is>
          <t>VÄSTERBOTTENS LÄN</t>
        </is>
      </c>
      <c r="E931" t="inlineStr">
        <is>
          <t>SKELLEFTEÅ</t>
        </is>
      </c>
      <c r="F931" t="inlineStr">
        <is>
          <t>Holmen skog AB</t>
        </is>
      </c>
      <c r="G931" t="n">
        <v>7.1</v>
      </c>
      <c r="H931" t="n">
        <v>1</v>
      </c>
      <c r="I931" t="n">
        <v>1</v>
      </c>
      <c r="J931" t="n">
        <v>0</v>
      </c>
      <c r="K931" t="n">
        <v>0</v>
      </c>
      <c r="L931" t="n">
        <v>0</v>
      </c>
      <c r="M931" t="n">
        <v>0</v>
      </c>
      <c r="N931" t="n">
        <v>0</v>
      </c>
      <c r="O931" t="n">
        <v>0</v>
      </c>
      <c r="P931" t="n">
        <v>0</v>
      </c>
      <c r="Q931" t="n">
        <v>2</v>
      </c>
      <c r="R931" s="2" t="inlineStr">
        <is>
          <t>Trådticka
Revlummer</t>
        </is>
      </c>
      <c r="S931">
        <f>HYPERLINK("https://klasma.github.io/Logging_2482/artfynd/A 51945-2022 artfynd.xlsx", "A 51945-2022")</f>
        <v/>
      </c>
      <c r="T931">
        <f>HYPERLINK("https://klasma.github.io/Logging_2482/kartor/A 51945-2022 karta.png", "A 51945-2022")</f>
        <v/>
      </c>
      <c r="V931">
        <f>HYPERLINK("https://klasma.github.io/Logging_2482/klagomål/A 51945-2022 FSC-klagomål.docx", "A 51945-2022")</f>
        <v/>
      </c>
      <c r="W931">
        <f>HYPERLINK("https://klasma.github.io/Logging_2482/klagomålsmail/A 51945-2022 FSC-klagomål mail.docx", "A 51945-2022")</f>
        <v/>
      </c>
      <c r="X931">
        <f>HYPERLINK("https://klasma.github.io/Logging_2482/tillsyn/A 51945-2022 tillsynsbegäran.docx", "A 51945-2022")</f>
        <v/>
      </c>
      <c r="Y931">
        <f>HYPERLINK("https://klasma.github.io/Logging_2482/tillsynsmail/A 51945-2022 tillsynsbegäran mail.docx", "A 51945-2022")</f>
        <v/>
      </c>
    </row>
    <row r="932" ht="15" customHeight="1">
      <c r="A932" t="inlineStr">
        <is>
          <t>A 52635-2022</t>
        </is>
      </c>
      <c r="B932" s="1" t="n">
        <v>44874</v>
      </c>
      <c r="C932" s="1" t="n">
        <v>45788</v>
      </c>
      <c r="D932" t="inlineStr">
        <is>
          <t>VÄSTERBOTTENS LÄN</t>
        </is>
      </c>
      <c r="E932" t="inlineStr">
        <is>
          <t>UMEÅ</t>
        </is>
      </c>
      <c r="G932" t="n">
        <v>3.1</v>
      </c>
      <c r="H932" t="n">
        <v>0</v>
      </c>
      <c r="I932" t="n">
        <v>1</v>
      </c>
      <c r="J932" t="n">
        <v>1</v>
      </c>
      <c r="K932" t="n">
        <v>0</v>
      </c>
      <c r="L932" t="n">
        <v>0</v>
      </c>
      <c r="M932" t="n">
        <v>0</v>
      </c>
      <c r="N932" t="n">
        <v>0</v>
      </c>
      <c r="O932" t="n">
        <v>1</v>
      </c>
      <c r="P932" t="n">
        <v>0</v>
      </c>
      <c r="Q932" t="n">
        <v>2</v>
      </c>
      <c r="R932" s="2" t="inlineStr">
        <is>
          <t>Garnlav
Vågbandad barkbock</t>
        </is>
      </c>
      <c r="S932">
        <f>HYPERLINK("https://klasma.github.io/Logging_2480/artfynd/A 52635-2022 artfynd.xlsx", "A 52635-2022")</f>
        <v/>
      </c>
      <c r="T932">
        <f>HYPERLINK("https://klasma.github.io/Logging_2480/kartor/A 52635-2022 karta.png", "A 52635-2022")</f>
        <v/>
      </c>
      <c r="V932">
        <f>HYPERLINK("https://klasma.github.io/Logging_2480/klagomål/A 52635-2022 FSC-klagomål.docx", "A 52635-2022")</f>
        <v/>
      </c>
      <c r="W932">
        <f>HYPERLINK("https://klasma.github.io/Logging_2480/klagomålsmail/A 52635-2022 FSC-klagomål mail.docx", "A 52635-2022")</f>
        <v/>
      </c>
      <c r="X932">
        <f>HYPERLINK("https://klasma.github.io/Logging_2480/tillsyn/A 52635-2022 tillsynsbegäran.docx", "A 52635-2022")</f>
        <v/>
      </c>
      <c r="Y932">
        <f>HYPERLINK("https://klasma.github.io/Logging_2480/tillsynsmail/A 52635-2022 tillsynsbegäran mail.docx", "A 52635-2022")</f>
        <v/>
      </c>
    </row>
    <row r="933" ht="15" customHeight="1">
      <c r="A933" t="inlineStr">
        <is>
          <t>A 52683-2022</t>
        </is>
      </c>
      <c r="B933" s="1" t="n">
        <v>44874</v>
      </c>
      <c r="C933" s="1" t="n">
        <v>45788</v>
      </c>
      <c r="D933" t="inlineStr">
        <is>
          <t>VÄSTERBOTTENS LÄN</t>
        </is>
      </c>
      <c r="E933" t="inlineStr">
        <is>
          <t>LYCKSELE</t>
        </is>
      </c>
      <c r="F933" t="inlineStr">
        <is>
          <t>Sveaskog</t>
        </is>
      </c>
      <c r="G933" t="n">
        <v>24.8</v>
      </c>
      <c r="H933" t="n">
        <v>1</v>
      </c>
      <c r="I933" t="n">
        <v>1</v>
      </c>
      <c r="J933" t="n">
        <v>1</v>
      </c>
      <c r="K933" t="n">
        <v>0</v>
      </c>
      <c r="L933" t="n">
        <v>0</v>
      </c>
      <c r="M933" t="n">
        <v>0</v>
      </c>
      <c r="N933" t="n">
        <v>0</v>
      </c>
      <c r="O933" t="n">
        <v>1</v>
      </c>
      <c r="P933" t="n">
        <v>0</v>
      </c>
      <c r="Q933" t="n">
        <v>2</v>
      </c>
      <c r="R933" s="2" t="inlineStr">
        <is>
          <t>Rödvingetrast
Ögonpyrola</t>
        </is>
      </c>
      <c r="S933">
        <f>HYPERLINK("https://klasma.github.io/Logging_2481/artfynd/A 52683-2022 artfynd.xlsx", "A 52683-2022")</f>
        <v/>
      </c>
      <c r="T933">
        <f>HYPERLINK("https://klasma.github.io/Logging_2481/kartor/A 52683-2022 karta.png", "A 52683-2022")</f>
        <v/>
      </c>
      <c r="V933">
        <f>HYPERLINK("https://klasma.github.io/Logging_2481/klagomål/A 52683-2022 FSC-klagomål.docx", "A 52683-2022")</f>
        <v/>
      </c>
      <c r="W933">
        <f>HYPERLINK("https://klasma.github.io/Logging_2481/klagomålsmail/A 52683-2022 FSC-klagomål mail.docx", "A 52683-2022")</f>
        <v/>
      </c>
      <c r="X933">
        <f>HYPERLINK("https://klasma.github.io/Logging_2481/tillsyn/A 52683-2022 tillsynsbegäran.docx", "A 52683-2022")</f>
        <v/>
      </c>
      <c r="Y933">
        <f>HYPERLINK("https://klasma.github.io/Logging_2481/tillsynsmail/A 52683-2022 tillsynsbegäran mail.docx", "A 52683-2022")</f>
        <v/>
      </c>
      <c r="Z933">
        <f>HYPERLINK("https://klasma.github.io/Logging_2481/fåglar/A 52683-2022 prioriterade fågelarter.docx", "A 52683-2022")</f>
        <v/>
      </c>
    </row>
    <row r="934" ht="15" customHeight="1">
      <c r="A934" t="inlineStr">
        <is>
          <t>A 54823-2022</t>
        </is>
      </c>
      <c r="B934" s="1" t="n">
        <v>44883</v>
      </c>
      <c r="C934" s="1" t="n">
        <v>45788</v>
      </c>
      <c r="D934" t="inlineStr">
        <is>
          <t>VÄSTERBOTTENS LÄN</t>
        </is>
      </c>
      <c r="E934" t="inlineStr">
        <is>
          <t>BJURHOLM</t>
        </is>
      </c>
      <c r="G934" t="n">
        <v>1.6</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HYPERLINK("https://klasma.github.io/Logging_2403/artfynd/A 54823-2022 artfynd.xlsx", "A 54823-2022")</f>
        <v/>
      </c>
      <c r="T934">
        <f>HYPERLINK("https://klasma.github.io/Logging_2403/kartor/A 54823-2022 karta.png", "A 54823-2022")</f>
        <v/>
      </c>
      <c r="V934">
        <f>HYPERLINK("https://klasma.github.io/Logging_2403/klagomål/A 54823-2022 FSC-klagomål.docx", "A 54823-2022")</f>
        <v/>
      </c>
      <c r="W934">
        <f>HYPERLINK("https://klasma.github.io/Logging_2403/klagomålsmail/A 54823-2022 FSC-klagomål mail.docx", "A 54823-2022")</f>
        <v/>
      </c>
      <c r="X934">
        <f>HYPERLINK("https://klasma.github.io/Logging_2403/tillsyn/A 54823-2022 tillsynsbegäran.docx", "A 54823-2022")</f>
        <v/>
      </c>
      <c r="Y934">
        <f>HYPERLINK("https://klasma.github.io/Logging_2403/tillsynsmail/A 54823-2022 tillsynsbegäran mail.docx", "A 54823-2022")</f>
        <v/>
      </c>
    </row>
    <row r="935" ht="15" customHeight="1">
      <c r="A935" t="inlineStr">
        <is>
          <t>A 56157-2022</t>
        </is>
      </c>
      <c r="B935" s="1" t="n">
        <v>44889</v>
      </c>
      <c r="C935" s="1" t="n">
        <v>45788</v>
      </c>
      <c r="D935" t="inlineStr">
        <is>
          <t>VÄSTERBOTTENS LÄN</t>
        </is>
      </c>
      <c r="E935" t="inlineStr">
        <is>
          <t>SKELLEFTEÅ</t>
        </is>
      </c>
      <c r="G935" t="n">
        <v>3.9</v>
      </c>
      <c r="H935" t="n">
        <v>2</v>
      </c>
      <c r="I935" t="n">
        <v>0</v>
      </c>
      <c r="J935" t="n">
        <v>0</v>
      </c>
      <c r="K935" t="n">
        <v>0</v>
      </c>
      <c r="L935" t="n">
        <v>0</v>
      </c>
      <c r="M935" t="n">
        <v>0</v>
      </c>
      <c r="N935" t="n">
        <v>0</v>
      </c>
      <c r="O935" t="n">
        <v>0</v>
      </c>
      <c r="P935" t="n">
        <v>0</v>
      </c>
      <c r="Q935" t="n">
        <v>2</v>
      </c>
      <c r="R935" s="2" t="inlineStr">
        <is>
          <t>Fläcknycklar
Revlummer</t>
        </is>
      </c>
      <c r="S935">
        <f>HYPERLINK("https://klasma.github.io/Logging_2482/artfynd/A 56157-2022 artfynd.xlsx", "A 56157-2022")</f>
        <v/>
      </c>
      <c r="T935">
        <f>HYPERLINK("https://klasma.github.io/Logging_2482/kartor/A 56157-2022 karta.png", "A 56157-2022")</f>
        <v/>
      </c>
      <c r="V935">
        <f>HYPERLINK("https://klasma.github.io/Logging_2482/klagomål/A 56157-2022 FSC-klagomål.docx", "A 56157-2022")</f>
        <v/>
      </c>
      <c r="W935">
        <f>HYPERLINK("https://klasma.github.io/Logging_2482/klagomålsmail/A 56157-2022 FSC-klagomål mail.docx", "A 56157-2022")</f>
        <v/>
      </c>
      <c r="X935">
        <f>HYPERLINK("https://klasma.github.io/Logging_2482/tillsyn/A 56157-2022 tillsynsbegäran.docx", "A 56157-2022")</f>
        <v/>
      </c>
      <c r="Y935">
        <f>HYPERLINK("https://klasma.github.io/Logging_2482/tillsynsmail/A 56157-2022 tillsynsbegäran mail.docx", "A 56157-2022")</f>
        <v/>
      </c>
    </row>
    <row r="936" ht="15" customHeight="1">
      <c r="A936" t="inlineStr">
        <is>
          <t>A 57634-2022</t>
        </is>
      </c>
      <c r="B936" s="1" t="n">
        <v>44897</v>
      </c>
      <c r="C936" s="1" t="n">
        <v>45788</v>
      </c>
      <c r="D936" t="inlineStr">
        <is>
          <t>VÄSTERBOTTENS LÄN</t>
        </is>
      </c>
      <c r="E936" t="inlineStr">
        <is>
          <t>BJURHOLM</t>
        </is>
      </c>
      <c r="F936" t="inlineStr">
        <is>
          <t>Holmen skog AB</t>
        </is>
      </c>
      <c r="G936" t="n">
        <v>4.1</v>
      </c>
      <c r="H936" t="n">
        <v>0</v>
      </c>
      <c r="I936" t="n">
        <v>0</v>
      </c>
      <c r="J936" t="n">
        <v>2</v>
      </c>
      <c r="K936" t="n">
        <v>0</v>
      </c>
      <c r="L936" t="n">
        <v>0</v>
      </c>
      <c r="M936" t="n">
        <v>0</v>
      </c>
      <c r="N936" t="n">
        <v>0</v>
      </c>
      <c r="O936" t="n">
        <v>2</v>
      </c>
      <c r="P936" t="n">
        <v>0</v>
      </c>
      <c r="Q936" t="n">
        <v>2</v>
      </c>
      <c r="R936" s="2" t="inlineStr">
        <is>
          <t>Granticka
Lunglav</t>
        </is>
      </c>
      <c r="S936">
        <f>HYPERLINK("https://klasma.github.io/Logging_2403/artfynd/A 57634-2022 artfynd.xlsx", "A 57634-2022")</f>
        <v/>
      </c>
      <c r="T936">
        <f>HYPERLINK("https://klasma.github.io/Logging_2403/kartor/A 57634-2022 karta.png", "A 57634-2022")</f>
        <v/>
      </c>
      <c r="V936">
        <f>HYPERLINK("https://klasma.github.io/Logging_2403/klagomål/A 57634-2022 FSC-klagomål.docx", "A 57634-2022")</f>
        <v/>
      </c>
      <c r="W936">
        <f>HYPERLINK("https://klasma.github.io/Logging_2403/klagomålsmail/A 57634-2022 FSC-klagomål mail.docx", "A 57634-2022")</f>
        <v/>
      </c>
      <c r="X936">
        <f>HYPERLINK("https://klasma.github.io/Logging_2403/tillsyn/A 57634-2022 tillsynsbegäran.docx", "A 57634-2022")</f>
        <v/>
      </c>
      <c r="Y936">
        <f>HYPERLINK("https://klasma.github.io/Logging_2403/tillsynsmail/A 57634-2022 tillsynsbegäran mail.docx", "A 57634-2022")</f>
        <v/>
      </c>
    </row>
    <row r="937" ht="15" customHeight="1">
      <c r="A937" t="inlineStr">
        <is>
          <t>A 58624-2022</t>
        </is>
      </c>
      <c r="B937" s="1" t="n">
        <v>44902</v>
      </c>
      <c r="C937" s="1" t="n">
        <v>45788</v>
      </c>
      <c r="D937" t="inlineStr">
        <is>
          <t>VÄSTERBOTTENS LÄN</t>
        </is>
      </c>
      <c r="E937" t="inlineStr">
        <is>
          <t>LYCKSELE</t>
        </is>
      </c>
      <c r="F937" t="inlineStr">
        <is>
          <t>Sveaskog</t>
        </is>
      </c>
      <c r="G937" t="n">
        <v>3.2</v>
      </c>
      <c r="H937" t="n">
        <v>0</v>
      </c>
      <c r="I937" t="n">
        <v>0</v>
      </c>
      <c r="J937" t="n">
        <v>2</v>
      </c>
      <c r="K937" t="n">
        <v>0</v>
      </c>
      <c r="L937" t="n">
        <v>0</v>
      </c>
      <c r="M937" t="n">
        <v>0</v>
      </c>
      <c r="N937" t="n">
        <v>0</v>
      </c>
      <c r="O937" t="n">
        <v>2</v>
      </c>
      <c r="P937" t="n">
        <v>0</v>
      </c>
      <c r="Q937" t="n">
        <v>2</v>
      </c>
      <c r="R937" s="2" t="inlineStr">
        <is>
          <t>Blanksvart spiklav
Vedflamlav</t>
        </is>
      </c>
      <c r="S937">
        <f>HYPERLINK("https://klasma.github.io/Logging_2481/artfynd/A 58624-2022 artfynd.xlsx", "A 58624-2022")</f>
        <v/>
      </c>
      <c r="T937">
        <f>HYPERLINK("https://klasma.github.io/Logging_2481/kartor/A 58624-2022 karta.png", "A 58624-2022")</f>
        <v/>
      </c>
      <c r="V937">
        <f>HYPERLINK("https://klasma.github.io/Logging_2481/klagomål/A 58624-2022 FSC-klagomål.docx", "A 58624-2022")</f>
        <v/>
      </c>
      <c r="W937">
        <f>HYPERLINK("https://klasma.github.io/Logging_2481/klagomålsmail/A 58624-2022 FSC-klagomål mail.docx", "A 58624-2022")</f>
        <v/>
      </c>
      <c r="X937">
        <f>HYPERLINK("https://klasma.github.io/Logging_2481/tillsyn/A 58624-2022 tillsynsbegäran.docx", "A 58624-2022")</f>
        <v/>
      </c>
      <c r="Y937">
        <f>HYPERLINK("https://klasma.github.io/Logging_2481/tillsynsmail/A 58624-2022 tillsynsbegäran mail.docx", "A 58624-2022")</f>
        <v/>
      </c>
    </row>
    <row r="938" ht="15" customHeight="1">
      <c r="A938" t="inlineStr">
        <is>
          <t>A 58736-2022</t>
        </is>
      </c>
      <c r="B938" s="1" t="n">
        <v>44902</v>
      </c>
      <c r="C938" s="1" t="n">
        <v>45788</v>
      </c>
      <c r="D938" t="inlineStr">
        <is>
          <t>VÄSTERBOTTENS LÄN</t>
        </is>
      </c>
      <c r="E938" t="inlineStr">
        <is>
          <t>DOROTEA</t>
        </is>
      </c>
      <c r="F938" t="inlineStr">
        <is>
          <t>SCA</t>
        </is>
      </c>
      <c r="G938" t="n">
        <v>3.4</v>
      </c>
      <c r="H938" t="n">
        <v>0</v>
      </c>
      <c r="I938" t="n">
        <v>0</v>
      </c>
      <c r="J938" t="n">
        <v>2</v>
      </c>
      <c r="K938" t="n">
        <v>0</v>
      </c>
      <c r="L938" t="n">
        <v>0</v>
      </c>
      <c r="M938" t="n">
        <v>0</v>
      </c>
      <c r="N938" t="n">
        <v>0</v>
      </c>
      <c r="O938" t="n">
        <v>2</v>
      </c>
      <c r="P938" t="n">
        <v>0</v>
      </c>
      <c r="Q938" t="n">
        <v>2</v>
      </c>
      <c r="R938" s="2" t="inlineStr">
        <is>
          <t>Lunglav
Skrovellav</t>
        </is>
      </c>
      <c r="S938">
        <f>HYPERLINK("https://klasma.github.io/Logging_2425/artfynd/A 58736-2022 artfynd.xlsx", "A 58736-2022")</f>
        <v/>
      </c>
      <c r="T938">
        <f>HYPERLINK("https://klasma.github.io/Logging_2425/kartor/A 58736-2022 karta.png", "A 58736-2022")</f>
        <v/>
      </c>
      <c r="V938">
        <f>HYPERLINK("https://klasma.github.io/Logging_2425/klagomål/A 58736-2022 FSC-klagomål.docx", "A 58736-2022")</f>
        <v/>
      </c>
      <c r="W938">
        <f>HYPERLINK("https://klasma.github.io/Logging_2425/klagomålsmail/A 58736-2022 FSC-klagomål mail.docx", "A 58736-2022")</f>
        <v/>
      </c>
      <c r="X938">
        <f>HYPERLINK("https://klasma.github.io/Logging_2425/tillsyn/A 58736-2022 tillsynsbegäran.docx", "A 58736-2022")</f>
        <v/>
      </c>
      <c r="Y938">
        <f>HYPERLINK("https://klasma.github.io/Logging_2425/tillsynsmail/A 58736-2022 tillsynsbegäran mail.docx", "A 58736-2022")</f>
        <v/>
      </c>
    </row>
    <row r="939" ht="15" customHeight="1">
      <c r="A939" t="inlineStr">
        <is>
          <t>A 60688-2022</t>
        </is>
      </c>
      <c r="B939" s="1" t="n">
        <v>44911</v>
      </c>
      <c r="C939" s="1" t="n">
        <v>45788</v>
      </c>
      <c r="D939" t="inlineStr">
        <is>
          <t>VÄSTERBOTTENS LÄN</t>
        </is>
      </c>
      <c r="E939" t="inlineStr">
        <is>
          <t>BJURHOLM</t>
        </is>
      </c>
      <c r="G939" t="n">
        <v>1.8</v>
      </c>
      <c r="H939" t="n">
        <v>0</v>
      </c>
      <c r="I939" t="n">
        <v>1</v>
      </c>
      <c r="J939" t="n">
        <v>1</v>
      </c>
      <c r="K939" t="n">
        <v>0</v>
      </c>
      <c r="L939" t="n">
        <v>0</v>
      </c>
      <c r="M939" t="n">
        <v>0</v>
      </c>
      <c r="N939" t="n">
        <v>0</v>
      </c>
      <c r="O939" t="n">
        <v>1</v>
      </c>
      <c r="P939" t="n">
        <v>0</v>
      </c>
      <c r="Q939" t="n">
        <v>2</v>
      </c>
      <c r="R939" s="2" t="inlineStr">
        <is>
          <t>Talltaggsvamp
Stuplav</t>
        </is>
      </c>
      <c r="S939">
        <f>HYPERLINK("https://klasma.github.io/Logging_2403/artfynd/A 60688-2022 artfynd.xlsx", "A 60688-2022")</f>
        <v/>
      </c>
      <c r="T939">
        <f>HYPERLINK("https://klasma.github.io/Logging_2403/kartor/A 60688-2022 karta.png", "A 60688-2022")</f>
        <v/>
      </c>
      <c r="V939">
        <f>HYPERLINK("https://klasma.github.io/Logging_2403/klagomål/A 60688-2022 FSC-klagomål.docx", "A 60688-2022")</f>
        <v/>
      </c>
      <c r="W939">
        <f>HYPERLINK("https://klasma.github.io/Logging_2403/klagomålsmail/A 60688-2022 FSC-klagomål mail.docx", "A 60688-2022")</f>
        <v/>
      </c>
      <c r="X939">
        <f>HYPERLINK("https://klasma.github.io/Logging_2403/tillsyn/A 60688-2022 tillsynsbegäran.docx", "A 60688-2022")</f>
        <v/>
      </c>
      <c r="Y939">
        <f>HYPERLINK("https://klasma.github.io/Logging_2403/tillsynsmail/A 60688-2022 tillsynsbegäran mail.docx", "A 60688-2022")</f>
        <v/>
      </c>
    </row>
    <row r="940" ht="15" customHeight="1">
      <c r="A940" t="inlineStr">
        <is>
          <t>A 469-2023</t>
        </is>
      </c>
      <c r="B940" s="1" t="n">
        <v>44929</v>
      </c>
      <c r="C940" s="1" t="n">
        <v>45788</v>
      </c>
      <c r="D940" t="inlineStr">
        <is>
          <t>VÄSTERBOTTENS LÄN</t>
        </is>
      </c>
      <c r="E940" t="inlineStr">
        <is>
          <t>ROBERTSFORS</t>
        </is>
      </c>
      <c r="G940" t="n">
        <v>13.8</v>
      </c>
      <c r="H940" t="n">
        <v>0</v>
      </c>
      <c r="I940" t="n">
        <v>0</v>
      </c>
      <c r="J940" t="n">
        <v>2</v>
      </c>
      <c r="K940" t="n">
        <v>0</v>
      </c>
      <c r="L940" t="n">
        <v>0</v>
      </c>
      <c r="M940" t="n">
        <v>0</v>
      </c>
      <c r="N940" t="n">
        <v>0</v>
      </c>
      <c r="O940" t="n">
        <v>2</v>
      </c>
      <c r="P940" t="n">
        <v>0</v>
      </c>
      <c r="Q940" t="n">
        <v>2</v>
      </c>
      <c r="R940" s="2" t="inlineStr">
        <is>
          <t>Gammelgransskål
Garnlav</t>
        </is>
      </c>
      <c r="S940">
        <f>HYPERLINK("https://klasma.github.io/Logging_2409/artfynd/A 469-2023 artfynd.xlsx", "A 469-2023")</f>
        <v/>
      </c>
      <c r="T940">
        <f>HYPERLINK("https://klasma.github.io/Logging_2409/kartor/A 469-2023 karta.png", "A 469-2023")</f>
        <v/>
      </c>
      <c r="V940">
        <f>HYPERLINK("https://klasma.github.io/Logging_2409/klagomål/A 469-2023 FSC-klagomål.docx", "A 469-2023")</f>
        <v/>
      </c>
      <c r="W940">
        <f>HYPERLINK("https://klasma.github.io/Logging_2409/klagomålsmail/A 469-2023 FSC-klagomål mail.docx", "A 469-2023")</f>
        <v/>
      </c>
      <c r="X940">
        <f>HYPERLINK("https://klasma.github.io/Logging_2409/tillsyn/A 469-2023 tillsynsbegäran.docx", "A 469-2023")</f>
        <v/>
      </c>
      <c r="Y940">
        <f>HYPERLINK("https://klasma.github.io/Logging_2409/tillsynsmail/A 469-2023 tillsynsbegäran mail.docx", "A 469-2023")</f>
        <v/>
      </c>
    </row>
    <row r="941" ht="15" customHeight="1">
      <c r="A941" t="inlineStr">
        <is>
          <t>A 787-2023</t>
        </is>
      </c>
      <c r="B941" s="1" t="n">
        <v>44931</v>
      </c>
      <c r="C941" s="1" t="n">
        <v>45788</v>
      </c>
      <c r="D941" t="inlineStr">
        <is>
          <t>VÄSTERBOTTENS LÄN</t>
        </is>
      </c>
      <c r="E941" t="inlineStr">
        <is>
          <t>SKELLEFTEÅ</t>
        </is>
      </c>
      <c r="G941" t="n">
        <v>13.9</v>
      </c>
      <c r="H941" t="n">
        <v>0</v>
      </c>
      <c r="I941" t="n">
        <v>1</v>
      </c>
      <c r="J941" t="n">
        <v>1</v>
      </c>
      <c r="K941" t="n">
        <v>0</v>
      </c>
      <c r="L941" t="n">
        <v>0</v>
      </c>
      <c r="M941" t="n">
        <v>0</v>
      </c>
      <c r="N941" t="n">
        <v>0</v>
      </c>
      <c r="O941" t="n">
        <v>1</v>
      </c>
      <c r="P941" t="n">
        <v>0</v>
      </c>
      <c r="Q941" t="n">
        <v>2</v>
      </c>
      <c r="R941" s="2" t="inlineStr">
        <is>
          <t>Storgröe
Ögonpyrola</t>
        </is>
      </c>
      <c r="S941">
        <f>HYPERLINK("https://klasma.github.io/Logging_2482/artfynd/A 787-2023 artfynd.xlsx", "A 787-2023")</f>
        <v/>
      </c>
      <c r="T941">
        <f>HYPERLINK("https://klasma.github.io/Logging_2482/kartor/A 787-2023 karta.png", "A 787-2023")</f>
        <v/>
      </c>
      <c r="V941">
        <f>HYPERLINK("https://klasma.github.io/Logging_2482/klagomål/A 787-2023 FSC-klagomål.docx", "A 787-2023")</f>
        <v/>
      </c>
      <c r="W941">
        <f>HYPERLINK("https://klasma.github.io/Logging_2482/klagomålsmail/A 787-2023 FSC-klagomål mail.docx", "A 787-2023")</f>
        <v/>
      </c>
      <c r="X941">
        <f>HYPERLINK("https://klasma.github.io/Logging_2482/tillsyn/A 787-2023 tillsynsbegäran.docx", "A 787-2023")</f>
        <v/>
      </c>
      <c r="Y941">
        <f>HYPERLINK("https://klasma.github.io/Logging_2482/tillsynsmail/A 787-2023 tillsynsbegäran mail.docx", "A 787-2023")</f>
        <v/>
      </c>
    </row>
    <row r="942" ht="15" customHeight="1">
      <c r="A942" t="inlineStr">
        <is>
          <t>A 901-2023</t>
        </is>
      </c>
      <c r="B942" s="1" t="n">
        <v>44931</v>
      </c>
      <c r="C942" s="1" t="n">
        <v>45788</v>
      </c>
      <c r="D942" t="inlineStr">
        <is>
          <t>VÄSTERBOTTENS LÄN</t>
        </is>
      </c>
      <c r="E942" t="inlineStr">
        <is>
          <t>SKELLEFTEÅ</t>
        </is>
      </c>
      <c r="G942" t="n">
        <v>7.7</v>
      </c>
      <c r="H942" t="n">
        <v>0</v>
      </c>
      <c r="I942" t="n">
        <v>0</v>
      </c>
      <c r="J942" t="n">
        <v>2</v>
      </c>
      <c r="K942" t="n">
        <v>0</v>
      </c>
      <c r="L942" t="n">
        <v>0</v>
      </c>
      <c r="M942" t="n">
        <v>0</v>
      </c>
      <c r="N942" t="n">
        <v>0</v>
      </c>
      <c r="O942" t="n">
        <v>2</v>
      </c>
      <c r="P942" t="n">
        <v>0</v>
      </c>
      <c r="Q942" t="n">
        <v>2</v>
      </c>
      <c r="R942" s="2" t="inlineStr">
        <is>
          <t>Garnlav
Skogshare</t>
        </is>
      </c>
      <c r="S942">
        <f>HYPERLINK("https://klasma.github.io/Logging_2482/artfynd/A 901-2023 artfynd.xlsx", "A 901-2023")</f>
        <v/>
      </c>
      <c r="T942">
        <f>HYPERLINK("https://klasma.github.io/Logging_2482/kartor/A 901-2023 karta.png", "A 901-2023")</f>
        <v/>
      </c>
      <c r="V942">
        <f>HYPERLINK("https://klasma.github.io/Logging_2482/klagomål/A 901-2023 FSC-klagomål.docx", "A 901-2023")</f>
        <v/>
      </c>
      <c r="W942">
        <f>HYPERLINK("https://klasma.github.io/Logging_2482/klagomålsmail/A 901-2023 FSC-klagomål mail.docx", "A 901-2023")</f>
        <v/>
      </c>
      <c r="X942">
        <f>HYPERLINK("https://klasma.github.io/Logging_2482/tillsyn/A 901-2023 tillsynsbegäran.docx", "A 901-2023")</f>
        <v/>
      </c>
      <c r="Y942">
        <f>HYPERLINK("https://klasma.github.io/Logging_2482/tillsynsmail/A 901-2023 tillsynsbegäran mail.docx", "A 901-2023")</f>
        <v/>
      </c>
    </row>
    <row r="943" ht="15" customHeight="1">
      <c r="A943" t="inlineStr">
        <is>
          <t>A 2893-2023</t>
        </is>
      </c>
      <c r="B943" s="1" t="n">
        <v>44945</v>
      </c>
      <c r="C943" s="1" t="n">
        <v>45788</v>
      </c>
      <c r="D943" t="inlineStr">
        <is>
          <t>VÄSTERBOTTENS LÄN</t>
        </is>
      </c>
      <c r="E943" t="inlineStr">
        <is>
          <t>LYCKSELE</t>
        </is>
      </c>
      <c r="F943" t="inlineStr">
        <is>
          <t>Kyrkan</t>
        </is>
      </c>
      <c r="G943" t="n">
        <v>3.5</v>
      </c>
      <c r="H943" t="n">
        <v>0</v>
      </c>
      <c r="I943" t="n">
        <v>1</v>
      </c>
      <c r="J943" t="n">
        <v>1</v>
      </c>
      <c r="K943" t="n">
        <v>0</v>
      </c>
      <c r="L943" t="n">
        <v>0</v>
      </c>
      <c r="M943" t="n">
        <v>0</v>
      </c>
      <c r="N943" t="n">
        <v>0</v>
      </c>
      <c r="O943" t="n">
        <v>1</v>
      </c>
      <c r="P943" t="n">
        <v>0</v>
      </c>
      <c r="Q943" t="n">
        <v>2</v>
      </c>
      <c r="R943" s="2" t="inlineStr">
        <is>
          <t>Garnlav
Dropptaggsvamp</t>
        </is>
      </c>
      <c r="S943">
        <f>HYPERLINK("https://klasma.github.io/Logging_2481/artfynd/A 2893-2023 artfynd.xlsx", "A 2893-2023")</f>
        <v/>
      </c>
      <c r="T943">
        <f>HYPERLINK("https://klasma.github.io/Logging_2481/kartor/A 2893-2023 karta.png", "A 2893-2023")</f>
        <v/>
      </c>
      <c r="V943">
        <f>HYPERLINK("https://klasma.github.io/Logging_2481/klagomål/A 2893-2023 FSC-klagomål.docx", "A 2893-2023")</f>
        <v/>
      </c>
      <c r="W943">
        <f>HYPERLINK("https://klasma.github.io/Logging_2481/klagomålsmail/A 2893-2023 FSC-klagomål mail.docx", "A 2893-2023")</f>
        <v/>
      </c>
      <c r="X943">
        <f>HYPERLINK("https://klasma.github.io/Logging_2481/tillsyn/A 2893-2023 tillsynsbegäran.docx", "A 2893-2023")</f>
        <v/>
      </c>
      <c r="Y943">
        <f>HYPERLINK("https://klasma.github.io/Logging_2481/tillsynsmail/A 2893-2023 tillsynsbegäran mail.docx", "A 2893-2023")</f>
        <v/>
      </c>
    </row>
    <row r="944" ht="15" customHeight="1">
      <c r="A944" t="inlineStr">
        <is>
          <t>A 3896-2023</t>
        </is>
      </c>
      <c r="B944" s="1" t="n">
        <v>44951</v>
      </c>
      <c r="C944" s="1" t="n">
        <v>45788</v>
      </c>
      <c r="D944" t="inlineStr">
        <is>
          <t>VÄSTERBOTTENS LÄN</t>
        </is>
      </c>
      <c r="E944" t="inlineStr">
        <is>
          <t>ÅSELE</t>
        </is>
      </c>
      <c r="F944" t="inlineStr">
        <is>
          <t>SCA</t>
        </is>
      </c>
      <c r="G944" t="n">
        <v>8</v>
      </c>
      <c r="H944" t="n">
        <v>0</v>
      </c>
      <c r="I944" t="n">
        <v>0</v>
      </c>
      <c r="J944" t="n">
        <v>2</v>
      </c>
      <c r="K944" t="n">
        <v>0</v>
      </c>
      <c r="L944" t="n">
        <v>0</v>
      </c>
      <c r="M944" t="n">
        <v>0</v>
      </c>
      <c r="N944" t="n">
        <v>0</v>
      </c>
      <c r="O944" t="n">
        <v>2</v>
      </c>
      <c r="P944" t="n">
        <v>0</v>
      </c>
      <c r="Q944" t="n">
        <v>2</v>
      </c>
      <c r="R944" s="2" t="inlineStr">
        <is>
          <t>Garnlav
Vedskivlav</t>
        </is>
      </c>
      <c r="S944">
        <f>HYPERLINK("https://klasma.github.io/Logging_2463/artfynd/A 3896-2023 artfynd.xlsx", "A 3896-2023")</f>
        <v/>
      </c>
      <c r="T944">
        <f>HYPERLINK("https://klasma.github.io/Logging_2463/kartor/A 3896-2023 karta.png", "A 3896-2023")</f>
        <v/>
      </c>
      <c r="V944">
        <f>HYPERLINK("https://klasma.github.io/Logging_2463/klagomål/A 3896-2023 FSC-klagomål.docx", "A 3896-2023")</f>
        <v/>
      </c>
      <c r="W944">
        <f>HYPERLINK("https://klasma.github.io/Logging_2463/klagomålsmail/A 3896-2023 FSC-klagomål mail.docx", "A 3896-2023")</f>
        <v/>
      </c>
      <c r="X944">
        <f>HYPERLINK("https://klasma.github.io/Logging_2463/tillsyn/A 3896-2023 tillsynsbegäran.docx", "A 3896-2023")</f>
        <v/>
      </c>
      <c r="Y944">
        <f>HYPERLINK("https://klasma.github.io/Logging_2463/tillsynsmail/A 3896-2023 tillsynsbegäran mail.docx", "A 3896-2023")</f>
        <v/>
      </c>
    </row>
    <row r="945" ht="15" customHeight="1">
      <c r="A945" t="inlineStr">
        <is>
          <t>A 3893-2023</t>
        </is>
      </c>
      <c r="B945" s="1" t="n">
        <v>44951</v>
      </c>
      <c r="C945" s="1" t="n">
        <v>45788</v>
      </c>
      <c r="D945" t="inlineStr">
        <is>
          <t>VÄSTERBOTTENS LÄN</t>
        </is>
      </c>
      <c r="E945" t="inlineStr">
        <is>
          <t>STORUMAN</t>
        </is>
      </c>
      <c r="F945" t="inlineStr">
        <is>
          <t>SCA</t>
        </is>
      </c>
      <c r="G945" t="n">
        <v>2.1</v>
      </c>
      <c r="H945" t="n">
        <v>0</v>
      </c>
      <c r="I945" t="n">
        <v>1</v>
      </c>
      <c r="J945" t="n">
        <v>1</v>
      </c>
      <c r="K945" t="n">
        <v>0</v>
      </c>
      <c r="L945" t="n">
        <v>0</v>
      </c>
      <c r="M945" t="n">
        <v>0</v>
      </c>
      <c r="N945" t="n">
        <v>0</v>
      </c>
      <c r="O945" t="n">
        <v>1</v>
      </c>
      <c r="P945" t="n">
        <v>0</v>
      </c>
      <c r="Q945" t="n">
        <v>2</v>
      </c>
      <c r="R945" s="2" t="inlineStr">
        <is>
          <t>Talltaggsvamp
Skarp dropptaggsvamp</t>
        </is>
      </c>
      <c r="S945">
        <f>HYPERLINK("https://klasma.github.io/Logging_2421/artfynd/A 3893-2023 artfynd.xlsx", "A 3893-2023")</f>
        <v/>
      </c>
      <c r="T945">
        <f>HYPERLINK("https://klasma.github.io/Logging_2421/kartor/A 3893-2023 karta.png", "A 3893-2023")</f>
        <v/>
      </c>
      <c r="V945">
        <f>HYPERLINK("https://klasma.github.io/Logging_2421/klagomål/A 3893-2023 FSC-klagomål.docx", "A 3893-2023")</f>
        <v/>
      </c>
      <c r="W945">
        <f>HYPERLINK("https://klasma.github.io/Logging_2421/klagomålsmail/A 3893-2023 FSC-klagomål mail.docx", "A 3893-2023")</f>
        <v/>
      </c>
      <c r="X945">
        <f>HYPERLINK("https://klasma.github.io/Logging_2421/tillsyn/A 3893-2023 tillsynsbegäran.docx", "A 3893-2023")</f>
        <v/>
      </c>
      <c r="Y945">
        <f>HYPERLINK("https://klasma.github.io/Logging_2421/tillsynsmail/A 3893-2023 tillsynsbegäran mail.docx", "A 3893-2023")</f>
        <v/>
      </c>
    </row>
    <row r="946" ht="15" customHeight="1">
      <c r="A946" t="inlineStr">
        <is>
          <t>A 5450-2023</t>
        </is>
      </c>
      <c r="B946" s="1" t="n">
        <v>44959</v>
      </c>
      <c r="C946" s="1" t="n">
        <v>45788</v>
      </c>
      <c r="D946" t="inlineStr">
        <is>
          <t>VÄSTERBOTTENS LÄN</t>
        </is>
      </c>
      <c r="E946" t="inlineStr">
        <is>
          <t>STORUMAN</t>
        </is>
      </c>
      <c r="F946" t="inlineStr">
        <is>
          <t>SCA</t>
        </is>
      </c>
      <c r="G946" t="n">
        <v>8.4</v>
      </c>
      <c r="H946" t="n">
        <v>2</v>
      </c>
      <c r="I946" t="n">
        <v>0</v>
      </c>
      <c r="J946" t="n">
        <v>1</v>
      </c>
      <c r="K946" t="n">
        <v>1</v>
      </c>
      <c r="L946" t="n">
        <v>0</v>
      </c>
      <c r="M946" t="n">
        <v>0</v>
      </c>
      <c r="N946" t="n">
        <v>0</v>
      </c>
      <c r="O946" t="n">
        <v>2</v>
      </c>
      <c r="P946" t="n">
        <v>1</v>
      </c>
      <c r="Q946" t="n">
        <v>2</v>
      </c>
      <c r="R946" s="2" t="inlineStr">
        <is>
          <t>Knärot
Tretåig hackspett</t>
        </is>
      </c>
      <c r="S946">
        <f>HYPERLINK("https://klasma.github.io/Logging_2421/artfynd/A 5450-2023 artfynd.xlsx", "A 5450-2023")</f>
        <v/>
      </c>
      <c r="T946">
        <f>HYPERLINK("https://klasma.github.io/Logging_2421/kartor/A 5450-2023 karta.png", "A 5450-2023")</f>
        <v/>
      </c>
      <c r="U946">
        <f>HYPERLINK("https://klasma.github.io/Logging_2421/knärot/A 5450-2023 karta knärot.png", "A 5450-2023")</f>
        <v/>
      </c>
      <c r="V946">
        <f>HYPERLINK("https://klasma.github.io/Logging_2421/klagomål/A 5450-2023 FSC-klagomål.docx", "A 5450-2023")</f>
        <v/>
      </c>
      <c r="W946">
        <f>HYPERLINK("https://klasma.github.io/Logging_2421/klagomålsmail/A 5450-2023 FSC-klagomål mail.docx", "A 5450-2023")</f>
        <v/>
      </c>
      <c r="X946">
        <f>HYPERLINK("https://klasma.github.io/Logging_2421/tillsyn/A 5450-2023 tillsynsbegäran.docx", "A 5450-2023")</f>
        <v/>
      </c>
      <c r="Y946">
        <f>HYPERLINK("https://klasma.github.io/Logging_2421/tillsynsmail/A 5450-2023 tillsynsbegäran mail.docx", "A 5450-2023")</f>
        <v/>
      </c>
      <c r="Z946">
        <f>HYPERLINK("https://klasma.github.io/Logging_2421/fåglar/A 5450-2023 prioriterade fågelarter.docx", "A 5450-2023")</f>
        <v/>
      </c>
    </row>
    <row r="947" ht="15" customHeight="1">
      <c r="A947" t="inlineStr">
        <is>
          <t>A 6002-2023</t>
        </is>
      </c>
      <c r="B947" s="1" t="n">
        <v>44964</v>
      </c>
      <c r="C947" s="1" t="n">
        <v>45788</v>
      </c>
      <c r="D947" t="inlineStr">
        <is>
          <t>VÄSTERBOTTENS LÄN</t>
        </is>
      </c>
      <c r="E947" t="inlineStr">
        <is>
          <t>LYCKSELE</t>
        </is>
      </c>
      <c r="F947" t="inlineStr">
        <is>
          <t>Kyrkan</t>
        </is>
      </c>
      <c r="G947" t="n">
        <v>15.7</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6002-2023 artfynd.xlsx", "A 6002-2023")</f>
        <v/>
      </c>
      <c r="T947">
        <f>HYPERLINK("https://klasma.github.io/Logging_2481/kartor/A 6002-2023 karta.png", "A 6002-2023")</f>
        <v/>
      </c>
      <c r="V947">
        <f>HYPERLINK("https://klasma.github.io/Logging_2481/klagomål/A 6002-2023 FSC-klagomål.docx", "A 6002-2023")</f>
        <v/>
      </c>
      <c r="W947">
        <f>HYPERLINK("https://klasma.github.io/Logging_2481/klagomålsmail/A 6002-2023 FSC-klagomål mail.docx", "A 6002-2023")</f>
        <v/>
      </c>
      <c r="X947">
        <f>HYPERLINK("https://klasma.github.io/Logging_2481/tillsyn/A 6002-2023 tillsynsbegäran.docx", "A 6002-2023")</f>
        <v/>
      </c>
      <c r="Y947">
        <f>HYPERLINK("https://klasma.github.io/Logging_2481/tillsynsmail/A 6002-2023 tillsynsbegäran mail.docx", "A 6002-2023")</f>
        <v/>
      </c>
    </row>
    <row r="948" ht="15" customHeight="1">
      <c r="A948" t="inlineStr">
        <is>
          <t>A 7670-2023</t>
        </is>
      </c>
      <c r="B948" s="1" t="n">
        <v>44972</v>
      </c>
      <c r="C948" s="1" t="n">
        <v>45788</v>
      </c>
      <c r="D948" t="inlineStr">
        <is>
          <t>VÄSTERBOTTENS LÄN</t>
        </is>
      </c>
      <c r="E948" t="inlineStr">
        <is>
          <t>LYCKSELE</t>
        </is>
      </c>
      <c r="F948" t="inlineStr">
        <is>
          <t>Sveaskog</t>
        </is>
      </c>
      <c r="G948" t="n">
        <v>0.8</v>
      </c>
      <c r="H948" t="n">
        <v>0</v>
      </c>
      <c r="I948" t="n">
        <v>1</v>
      </c>
      <c r="J948" t="n">
        <v>1</v>
      </c>
      <c r="K948" t="n">
        <v>0</v>
      </c>
      <c r="L948" t="n">
        <v>0</v>
      </c>
      <c r="M948" t="n">
        <v>0</v>
      </c>
      <c r="N948" t="n">
        <v>0</v>
      </c>
      <c r="O948" t="n">
        <v>1</v>
      </c>
      <c r="P948" t="n">
        <v>0</v>
      </c>
      <c r="Q948" t="n">
        <v>2</v>
      </c>
      <c r="R948" s="2" t="inlineStr">
        <is>
          <t>Lunglav
Dropptaggsvamp</t>
        </is>
      </c>
      <c r="S948">
        <f>HYPERLINK("https://klasma.github.io/Logging_2481/artfynd/A 7670-2023 artfynd.xlsx", "A 7670-2023")</f>
        <v/>
      </c>
      <c r="T948">
        <f>HYPERLINK("https://klasma.github.io/Logging_2481/kartor/A 7670-2023 karta.png", "A 7670-2023")</f>
        <v/>
      </c>
      <c r="V948">
        <f>HYPERLINK("https://klasma.github.io/Logging_2481/klagomål/A 7670-2023 FSC-klagomål.docx", "A 7670-2023")</f>
        <v/>
      </c>
      <c r="W948">
        <f>HYPERLINK("https://klasma.github.io/Logging_2481/klagomålsmail/A 7670-2023 FSC-klagomål mail.docx", "A 7670-2023")</f>
        <v/>
      </c>
      <c r="X948">
        <f>HYPERLINK("https://klasma.github.io/Logging_2481/tillsyn/A 7670-2023 tillsynsbegäran.docx", "A 7670-2023")</f>
        <v/>
      </c>
      <c r="Y948">
        <f>HYPERLINK("https://klasma.github.io/Logging_2481/tillsynsmail/A 7670-2023 tillsynsbegäran mail.docx", "A 7670-2023")</f>
        <v/>
      </c>
    </row>
    <row r="949" ht="15" customHeight="1">
      <c r="A949" t="inlineStr">
        <is>
          <t>A 10292-2023</t>
        </is>
      </c>
      <c r="B949" s="1" t="n">
        <v>44986</v>
      </c>
      <c r="C949" s="1" t="n">
        <v>45788</v>
      </c>
      <c r="D949" t="inlineStr">
        <is>
          <t>VÄSTERBOTTENS LÄN</t>
        </is>
      </c>
      <c r="E949" t="inlineStr">
        <is>
          <t>ÅSELE</t>
        </is>
      </c>
      <c r="F949" t="inlineStr">
        <is>
          <t>SCA</t>
        </is>
      </c>
      <c r="G949" t="n">
        <v>22.4</v>
      </c>
      <c r="H949" t="n">
        <v>0</v>
      </c>
      <c r="I949" t="n">
        <v>0</v>
      </c>
      <c r="J949" t="n">
        <v>2</v>
      </c>
      <c r="K949" t="n">
        <v>0</v>
      </c>
      <c r="L949" t="n">
        <v>0</v>
      </c>
      <c r="M949" t="n">
        <v>0</v>
      </c>
      <c r="N949" t="n">
        <v>0</v>
      </c>
      <c r="O949" t="n">
        <v>2</v>
      </c>
      <c r="P949" t="n">
        <v>0</v>
      </c>
      <c r="Q949" t="n">
        <v>2</v>
      </c>
      <c r="R949" s="2" t="inlineStr">
        <is>
          <t>Granticka
Lunglav</t>
        </is>
      </c>
      <c r="S949">
        <f>HYPERLINK("https://klasma.github.io/Logging_2463/artfynd/A 10292-2023 artfynd.xlsx", "A 10292-2023")</f>
        <v/>
      </c>
      <c r="T949">
        <f>HYPERLINK("https://klasma.github.io/Logging_2463/kartor/A 10292-2023 karta.png", "A 10292-2023")</f>
        <v/>
      </c>
      <c r="V949">
        <f>HYPERLINK("https://klasma.github.io/Logging_2463/klagomål/A 10292-2023 FSC-klagomål.docx", "A 10292-2023")</f>
        <v/>
      </c>
      <c r="W949">
        <f>HYPERLINK("https://klasma.github.io/Logging_2463/klagomålsmail/A 10292-2023 FSC-klagomål mail.docx", "A 10292-2023")</f>
        <v/>
      </c>
      <c r="X949">
        <f>HYPERLINK("https://klasma.github.io/Logging_2463/tillsyn/A 10292-2023 tillsynsbegäran.docx", "A 10292-2023")</f>
        <v/>
      </c>
      <c r="Y949">
        <f>HYPERLINK("https://klasma.github.io/Logging_2463/tillsynsmail/A 10292-2023 tillsynsbegäran mail.docx", "A 10292-2023")</f>
        <v/>
      </c>
    </row>
    <row r="950" ht="15" customHeight="1">
      <c r="A950" t="inlineStr">
        <is>
          <t>A 10546-2023</t>
        </is>
      </c>
      <c r="B950" s="1" t="n">
        <v>44987</v>
      </c>
      <c r="C950" s="1" t="n">
        <v>45788</v>
      </c>
      <c r="D950" t="inlineStr">
        <is>
          <t>VÄSTERBOTTENS LÄN</t>
        </is>
      </c>
      <c r="E950" t="inlineStr">
        <is>
          <t>ÅSELE</t>
        </is>
      </c>
      <c r="F950" t="inlineStr">
        <is>
          <t>SCA</t>
        </is>
      </c>
      <c r="G950" t="n">
        <v>11.5</v>
      </c>
      <c r="H950" t="n">
        <v>0</v>
      </c>
      <c r="I950" t="n">
        <v>0</v>
      </c>
      <c r="J950" t="n">
        <v>2</v>
      </c>
      <c r="K950" t="n">
        <v>0</v>
      </c>
      <c r="L950" t="n">
        <v>0</v>
      </c>
      <c r="M950" t="n">
        <v>0</v>
      </c>
      <c r="N950" t="n">
        <v>0</v>
      </c>
      <c r="O950" t="n">
        <v>2</v>
      </c>
      <c r="P950" t="n">
        <v>0</v>
      </c>
      <c r="Q950" t="n">
        <v>2</v>
      </c>
      <c r="R950" s="2" t="inlineStr">
        <is>
          <t>Gammelgransskål
Lunglav</t>
        </is>
      </c>
      <c r="S950">
        <f>HYPERLINK("https://klasma.github.io/Logging_2463/artfynd/A 10546-2023 artfynd.xlsx", "A 10546-2023")</f>
        <v/>
      </c>
      <c r="T950">
        <f>HYPERLINK("https://klasma.github.io/Logging_2463/kartor/A 10546-2023 karta.png", "A 10546-2023")</f>
        <v/>
      </c>
      <c r="V950">
        <f>HYPERLINK("https://klasma.github.io/Logging_2463/klagomål/A 10546-2023 FSC-klagomål.docx", "A 10546-2023")</f>
        <v/>
      </c>
      <c r="W950">
        <f>HYPERLINK("https://klasma.github.io/Logging_2463/klagomålsmail/A 10546-2023 FSC-klagomål mail.docx", "A 10546-2023")</f>
        <v/>
      </c>
      <c r="X950">
        <f>HYPERLINK("https://klasma.github.io/Logging_2463/tillsyn/A 10546-2023 tillsynsbegäran.docx", "A 10546-2023")</f>
        <v/>
      </c>
      <c r="Y950">
        <f>HYPERLINK("https://klasma.github.io/Logging_2463/tillsynsmail/A 10546-2023 tillsynsbegäran mail.docx", "A 10546-2023")</f>
        <v/>
      </c>
    </row>
    <row r="951" ht="15" customHeight="1">
      <c r="A951" t="inlineStr">
        <is>
          <t>A 11627-2023</t>
        </is>
      </c>
      <c r="B951" s="1" t="n">
        <v>44994</v>
      </c>
      <c r="C951" s="1" t="n">
        <v>45788</v>
      </c>
      <c r="D951" t="inlineStr">
        <is>
          <t>VÄSTERBOTTENS LÄN</t>
        </is>
      </c>
      <c r="E951" t="inlineStr">
        <is>
          <t>SKELLEFTEÅ</t>
        </is>
      </c>
      <c r="G951" t="n">
        <v>16.6</v>
      </c>
      <c r="H951" t="n">
        <v>1</v>
      </c>
      <c r="I951" t="n">
        <v>1</v>
      </c>
      <c r="J951" t="n">
        <v>0</v>
      </c>
      <c r="K951" t="n">
        <v>0</v>
      </c>
      <c r="L951" t="n">
        <v>0</v>
      </c>
      <c r="M951" t="n">
        <v>0</v>
      </c>
      <c r="N951" t="n">
        <v>0</v>
      </c>
      <c r="O951" t="n">
        <v>0</v>
      </c>
      <c r="P951" t="n">
        <v>0</v>
      </c>
      <c r="Q951" t="n">
        <v>2</v>
      </c>
      <c r="R951" s="2" t="inlineStr">
        <is>
          <t>Norrlandslav
Revlummer</t>
        </is>
      </c>
      <c r="S951">
        <f>HYPERLINK("https://klasma.github.io/Logging_2482/artfynd/A 11627-2023 artfynd.xlsx", "A 11627-2023")</f>
        <v/>
      </c>
      <c r="T951">
        <f>HYPERLINK("https://klasma.github.io/Logging_2482/kartor/A 11627-2023 karta.png", "A 11627-2023")</f>
        <v/>
      </c>
      <c r="V951">
        <f>HYPERLINK("https://klasma.github.io/Logging_2482/klagomål/A 11627-2023 FSC-klagomål.docx", "A 11627-2023")</f>
        <v/>
      </c>
      <c r="W951">
        <f>HYPERLINK("https://klasma.github.io/Logging_2482/klagomålsmail/A 11627-2023 FSC-klagomål mail.docx", "A 11627-2023")</f>
        <v/>
      </c>
      <c r="X951">
        <f>HYPERLINK("https://klasma.github.io/Logging_2482/tillsyn/A 11627-2023 tillsynsbegäran.docx", "A 11627-2023")</f>
        <v/>
      </c>
      <c r="Y951">
        <f>HYPERLINK("https://klasma.github.io/Logging_2482/tillsynsmail/A 11627-2023 tillsynsbegäran mail.docx", "A 11627-2023")</f>
        <v/>
      </c>
    </row>
    <row r="952" ht="15" customHeight="1">
      <c r="A952" t="inlineStr">
        <is>
          <t>A 15081-2023</t>
        </is>
      </c>
      <c r="B952" s="1" t="n">
        <v>45016</v>
      </c>
      <c r="C952" s="1" t="n">
        <v>45788</v>
      </c>
      <c r="D952" t="inlineStr">
        <is>
          <t>VÄSTERBOTTENS LÄN</t>
        </is>
      </c>
      <c r="E952" t="inlineStr">
        <is>
          <t>ÅSELE</t>
        </is>
      </c>
      <c r="F952" t="inlineStr">
        <is>
          <t>SCA</t>
        </is>
      </c>
      <c r="G952" t="n">
        <v>6.4</v>
      </c>
      <c r="H952" t="n">
        <v>0</v>
      </c>
      <c r="I952" t="n">
        <v>0</v>
      </c>
      <c r="J952" t="n">
        <v>2</v>
      </c>
      <c r="K952" t="n">
        <v>0</v>
      </c>
      <c r="L952" t="n">
        <v>0</v>
      </c>
      <c r="M952" t="n">
        <v>0</v>
      </c>
      <c r="N952" t="n">
        <v>0</v>
      </c>
      <c r="O952" t="n">
        <v>2</v>
      </c>
      <c r="P952" t="n">
        <v>0</v>
      </c>
      <c r="Q952" t="n">
        <v>2</v>
      </c>
      <c r="R952" s="2" t="inlineStr">
        <is>
          <t>Gränsticka
Koralltaggsvamp</t>
        </is>
      </c>
      <c r="S952">
        <f>HYPERLINK("https://klasma.github.io/Logging_2463/artfynd/A 15081-2023 artfynd.xlsx", "A 15081-2023")</f>
        <v/>
      </c>
      <c r="T952">
        <f>HYPERLINK("https://klasma.github.io/Logging_2463/kartor/A 15081-2023 karta.png", "A 15081-2023")</f>
        <v/>
      </c>
      <c r="V952">
        <f>HYPERLINK("https://klasma.github.io/Logging_2463/klagomål/A 15081-2023 FSC-klagomål.docx", "A 15081-2023")</f>
        <v/>
      </c>
      <c r="W952">
        <f>HYPERLINK("https://klasma.github.io/Logging_2463/klagomålsmail/A 15081-2023 FSC-klagomål mail.docx", "A 15081-2023")</f>
        <v/>
      </c>
      <c r="X952">
        <f>HYPERLINK("https://klasma.github.io/Logging_2463/tillsyn/A 15081-2023 tillsynsbegäran.docx", "A 15081-2023")</f>
        <v/>
      </c>
      <c r="Y952">
        <f>HYPERLINK("https://klasma.github.io/Logging_2463/tillsynsmail/A 15081-2023 tillsynsbegäran mail.docx", "A 15081-2023")</f>
        <v/>
      </c>
    </row>
    <row r="953" ht="15" customHeight="1">
      <c r="A953" t="inlineStr">
        <is>
          <t>A 15197-2023</t>
        </is>
      </c>
      <c r="B953" s="1" t="n">
        <v>45016</v>
      </c>
      <c r="C953" s="1" t="n">
        <v>45788</v>
      </c>
      <c r="D953" t="inlineStr">
        <is>
          <t>VÄSTERBOTTENS LÄN</t>
        </is>
      </c>
      <c r="E953" t="inlineStr">
        <is>
          <t>LYCKSELE</t>
        </is>
      </c>
      <c r="G953" t="n">
        <v>11.2</v>
      </c>
      <c r="H953" t="n">
        <v>0</v>
      </c>
      <c r="I953" t="n">
        <v>1</v>
      </c>
      <c r="J953" t="n">
        <v>1</v>
      </c>
      <c r="K953" t="n">
        <v>0</v>
      </c>
      <c r="L953" t="n">
        <v>0</v>
      </c>
      <c r="M953" t="n">
        <v>0</v>
      </c>
      <c r="N953" t="n">
        <v>0</v>
      </c>
      <c r="O953" t="n">
        <v>1</v>
      </c>
      <c r="P953" t="n">
        <v>0</v>
      </c>
      <c r="Q953" t="n">
        <v>2</v>
      </c>
      <c r="R953" s="2" t="inlineStr">
        <is>
          <t>Vaddporing
Dropptaggsvamp</t>
        </is>
      </c>
      <c r="S953">
        <f>HYPERLINK("https://klasma.github.io/Logging_2481/artfynd/A 15197-2023 artfynd.xlsx", "A 15197-2023")</f>
        <v/>
      </c>
      <c r="T953">
        <f>HYPERLINK("https://klasma.github.io/Logging_2481/kartor/A 15197-2023 karta.png", "A 15197-2023")</f>
        <v/>
      </c>
      <c r="V953">
        <f>HYPERLINK("https://klasma.github.io/Logging_2481/klagomål/A 15197-2023 FSC-klagomål.docx", "A 15197-2023")</f>
        <v/>
      </c>
      <c r="W953">
        <f>HYPERLINK("https://klasma.github.io/Logging_2481/klagomålsmail/A 15197-2023 FSC-klagomål mail.docx", "A 15197-2023")</f>
        <v/>
      </c>
      <c r="X953">
        <f>HYPERLINK("https://klasma.github.io/Logging_2481/tillsyn/A 15197-2023 tillsynsbegäran.docx", "A 15197-2023")</f>
        <v/>
      </c>
      <c r="Y953">
        <f>HYPERLINK("https://klasma.github.io/Logging_2481/tillsynsmail/A 15197-2023 tillsynsbegäran mail.docx", "A 15197-2023")</f>
        <v/>
      </c>
    </row>
    <row r="954" ht="15" customHeight="1">
      <c r="A954" t="inlineStr">
        <is>
          <t>A 18922-2023</t>
        </is>
      </c>
      <c r="B954" s="1" t="n">
        <v>45043</v>
      </c>
      <c r="C954" s="1" t="n">
        <v>45788</v>
      </c>
      <c r="D954" t="inlineStr">
        <is>
          <t>VÄSTERBOTTENS LÄN</t>
        </is>
      </c>
      <c r="E954" t="inlineStr">
        <is>
          <t>UMEÅ</t>
        </is>
      </c>
      <c r="G954" t="n">
        <v>9.199999999999999</v>
      </c>
      <c r="H954" t="n">
        <v>0</v>
      </c>
      <c r="I954" t="n">
        <v>0</v>
      </c>
      <c r="J954" t="n">
        <v>2</v>
      </c>
      <c r="K954" t="n">
        <v>0</v>
      </c>
      <c r="L954" t="n">
        <v>0</v>
      </c>
      <c r="M954" t="n">
        <v>0</v>
      </c>
      <c r="N954" t="n">
        <v>0</v>
      </c>
      <c r="O954" t="n">
        <v>2</v>
      </c>
      <c r="P954" t="n">
        <v>0</v>
      </c>
      <c r="Q954" t="n">
        <v>2</v>
      </c>
      <c r="R954" s="2" t="inlineStr">
        <is>
          <t>Granticka
Ullticka</t>
        </is>
      </c>
      <c r="S954">
        <f>HYPERLINK("https://klasma.github.io/Logging_2480/artfynd/A 18922-2023 artfynd.xlsx", "A 18922-2023")</f>
        <v/>
      </c>
      <c r="T954">
        <f>HYPERLINK("https://klasma.github.io/Logging_2480/kartor/A 18922-2023 karta.png", "A 18922-2023")</f>
        <v/>
      </c>
      <c r="V954">
        <f>HYPERLINK("https://klasma.github.io/Logging_2480/klagomål/A 18922-2023 FSC-klagomål.docx", "A 18922-2023")</f>
        <v/>
      </c>
      <c r="W954">
        <f>HYPERLINK("https://klasma.github.io/Logging_2480/klagomålsmail/A 18922-2023 FSC-klagomål mail.docx", "A 18922-2023")</f>
        <v/>
      </c>
      <c r="X954">
        <f>HYPERLINK("https://klasma.github.io/Logging_2480/tillsyn/A 18922-2023 tillsynsbegäran.docx", "A 18922-2023")</f>
        <v/>
      </c>
      <c r="Y954">
        <f>HYPERLINK("https://klasma.github.io/Logging_2480/tillsynsmail/A 18922-2023 tillsynsbegäran mail.docx", "A 18922-2023")</f>
        <v/>
      </c>
    </row>
    <row r="955" ht="15" customHeight="1">
      <c r="A955" t="inlineStr">
        <is>
          <t>A 19726-2023</t>
        </is>
      </c>
      <c r="B955" s="1" t="n">
        <v>45051</v>
      </c>
      <c r="C955" s="1" t="n">
        <v>45788</v>
      </c>
      <c r="D955" t="inlineStr">
        <is>
          <t>VÄSTERBOTTENS LÄN</t>
        </is>
      </c>
      <c r="E955" t="inlineStr">
        <is>
          <t>NORSJÖ</t>
        </is>
      </c>
      <c r="G955" t="n">
        <v>14.4</v>
      </c>
      <c r="H955" t="n">
        <v>2</v>
      </c>
      <c r="I955" t="n">
        <v>0</v>
      </c>
      <c r="J955" t="n">
        <v>1</v>
      </c>
      <c r="K955" t="n">
        <v>1</v>
      </c>
      <c r="L955" t="n">
        <v>0</v>
      </c>
      <c r="M955" t="n">
        <v>0</v>
      </c>
      <c r="N955" t="n">
        <v>0</v>
      </c>
      <c r="O955" t="n">
        <v>2</v>
      </c>
      <c r="P955" t="n">
        <v>1</v>
      </c>
      <c r="Q955" t="n">
        <v>2</v>
      </c>
      <c r="R955" s="2" t="inlineStr">
        <is>
          <t>Tallbit
Talltita</t>
        </is>
      </c>
      <c r="S955">
        <f>HYPERLINK("https://klasma.github.io/Logging_2417/artfynd/A 19726-2023 artfynd.xlsx", "A 19726-2023")</f>
        <v/>
      </c>
      <c r="T955">
        <f>HYPERLINK("https://klasma.github.io/Logging_2417/kartor/A 19726-2023 karta.png", "A 19726-2023")</f>
        <v/>
      </c>
      <c r="V955">
        <f>HYPERLINK("https://klasma.github.io/Logging_2417/klagomål/A 19726-2023 FSC-klagomål.docx", "A 19726-2023")</f>
        <v/>
      </c>
      <c r="W955">
        <f>HYPERLINK("https://klasma.github.io/Logging_2417/klagomålsmail/A 19726-2023 FSC-klagomål mail.docx", "A 19726-2023")</f>
        <v/>
      </c>
      <c r="X955">
        <f>HYPERLINK("https://klasma.github.io/Logging_2417/tillsyn/A 19726-2023 tillsynsbegäran.docx", "A 19726-2023")</f>
        <v/>
      </c>
      <c r="Y955">
        <f>HYPERLINK("https://klasma.github.io/Logging_2417/tillsynsmail/A 19726-2023 tillsynsbegäran mail.docx", "A 19726-2023")</f>
        <v/>
      </c>
      <c r="Z955">
        <f>HYPERLINK("https://klasma.github.io/Logging_2417/fåglar/A 19726-2023 prioriterade fågelarter.docx", "A 19726-2023")</f>
        <v/>
      </c>
    </row>
    <row r="956" ht="15" customHeight="1">
      <c r="A956" t="inlineStr">
        <is>
          <t>A 24332-2023</t>
        </is>
      </c>
      <c r="B956" s="1" t="n">
        <v>45081</v>
      </c>
      <c r="C956" s="1" t="n">
        <v>45788</v>
      </c>
      <c r="D956" t="inlineStr">
        <is>
          <t>VÄSTERBOTTENS LÄN</t>
        </is>
      </c>
      <c r="E956" t="inlineStr">
        <is>
          <t>SORSELE</t>
        </is>
      </c>
      <c r="F956" t="inlineStr">
        <is>
          <t>Övriga statliga verk och myndigheter</t>
        </is>
      </c>
      <c r="G956" t="n">
        <v>211.8</v>
      </c>
      <c r="H956" t="n">
        <v>0</v>
      </c>
      <c r="I956" t="n">
        <v>0</v>
      </c>
      <c r="J956" t="n">
        <v>2</v>
      </c>
      <c r="K956" t="n">
        <v>0</v>
      </c>
      <c r="L956" t="n">
        <v>0</v>
      </c>
      <c r="M956" t="n">
        <v>0</v>
      </c>
      <c r="N956" t="n">
        <v>0</v>
      </c>
      <c r="O956" t="n">
        <v>2</v>
      </c>
      <c r="P956" t="n">
        <v>0</v>
      </c>
      <c r="Q956" t="n">
        <v>2</v>
      </c>
      <c r="R956" s="2" t="inlineStr">
        <is>
          <t>Granticka
Harticka</t>
        </is>
      </c>
      <c r="S956">
        <f>HYPERLINK("https://klasma.github.io/Logging_2422/artfynd/A 24332-2023 artfynd.xlsx", "A 24332-2023")</f>
        <v/>
      </c>
      <c r="T956">
        <f>HYPERLINK("https://klasma.github.io/Logging_2422/kartor/A 24332-2023 karta.png", "A 24332-2023")</f>
        <v/>
      </c>
      <c r="V956">
        <f>HYPERLINK("https://klasma.github.io/Logging_2422/klagomål/A 24332-2023 FSC-klagomål.docx", "A 24332-2023")</f>
        <v/>
      </c>
      <c r="W956">
        <f>HYPERLINK("https://klasma.github.io/Logging_2422/klagomålsmail/A 24332-2023 FSC-klagomål mail.docx", "A 24332-2023")</f>
        <v/>
      </c>
      <c r="X956">
        <f>HYPERLINK("https://klasma.github.io/Logging_2422/tillsyn/A 24332-2023 tillsynsbegäran.docx", "A 24332-2023")</f>
        <v/>
      </c>
      <c r="Y956">
        <f>HYPERLINK("https://klasma.github.io/Logging_2422/tillsynsmail/A 24332-2023 tillsynsbegäran mail.docx", "A 24332-2023")</f>
        <v/>
      </c>
    </row>
    <row r="957" ht="15" customHeight="1">
      <c r="A957" t="inlineStr">
        <is>
          <t>A 26029-2023</t>
        </is>
      </c>
      <c r="B957" s="1" t="n">
        <v>45091</v>
      </c>
      <c r="C957" s="1" t="n">
        <v>45788</v>
      </c>
      <c r="D957" t="inlineStr">
        <is>
          <t>VÄSTERBOTTENS LÄN</t>
        </is>
      </c>
      <c r="E957" t="inlineStr">
        <is>
          <t>ROBERTSFORS</t>
        </is>
      </c>
      <c r="G957" t="n">
        <v>3.9</v>
      </c>
      <c r="H957" t="n">
        <v>1</v>
      </c>
      <c r="I957" t="n">
        <v>0</v>
      </c>
      <c r="J957" t="n">
        <v>2</v>
      </c>
      <c r="K957" t="n">
        <v>0</v>
      </c>
      <c r="L957" t="n">
        <v>0</v>
      </c>
      <c r="M957" t="n">
        <v>0</v>
      </c>
      <c r="N957" t="n">
        <v>0</v>
      </c>
      <c r="O957" t="n">
        <v>2</v>
      </c>
      <c r="P957" t="n">
        <v>0</v>
      </c>
      <c r="Q957" t="n">
        <v>2</v>
      </c>
      <c r="R957" s="2" t="inlineStr">
        <is>
          <t>Granticka
Spillkråka</t>
        </is>
      </c>
      <c r="S957">
        <f>HYPERLINK("https://klasma.github.io/Logging_2409/artfynd/A 26029-2023 artfynd.xlsx", "A 26029-2023")</f>
        <v/>
      </c>
      <c r="T957">
        <f>HYPERLINK("https://klasma.github.io/Logging_2409/kartor/A 26029-2023 karta.png", "A 26029-2023")</f>
        <v/>
      </c>
      <c r="V957">
        <f>HYPERLINK("https://klasma.github.io/Logging_2409/klagomål/A 26029-2023 FSC-klagomål.docx", "A 26029-2023")</f>
        <v/>
      </c>
      <c r="W957">
        <f>HYPERLINK("https://klasma.github.io/Logging_2409/klagomålsmail/A 26029-2023 FSC-klagomål mail.docx", "A 26029-2023")</f>
        <v/>
      </c>
      <c r="X957">
        <f>HYPERLINK("https://klasma.github.io/Logging_2409/tillsyn/A 26029-2023 tillsynsbegäran.docx", "A 26029-2023")</f>
        <v/>
      </c>
      <c r="Y957">
        <f>HYPERLINK("https://klasma.github.io/Logging_2409/tillsynsmail/A 26029-2023 tillsynsbegäran mail.docx", "A 26029-2023")</f>
        <v/>
      </c>
      <c r="Z957">
        <f>HYPERLINK("https://klasma.github.io/Logging_2409/fåglar/A 26029-2023 prioriterade fågelarter.docx", "A 26029-2023")</f>
        <v/>
      </c>
    </row>
    <row r="958" ht="15" customHeight="1">
      <c r="A958" t="inlineStr">
        <is>
          <t>A 28013-2023</t>
        </is>
      </c>
      <c r="B958" s="1" t="n">
        <v>45098</v>
      </c>
      <c r="C958" s="1" t="n">
        <v>45788</v>
      </c>
      <c r="D958" t="inlineStr">
        <is>
          <t>VÄSTERBOTTENS LÄN</t>
        </is>
      </c>
      <c r="E958" t="inlineStr">
        <is>
          <t>VILHELMINA</t>
        </is>
      </c>
      <c r="F958" t="inlineStr">
        <is>
          <t>SCA</t>
        </is>
      </c>
      <c r="G958" t="n">
        <v>7.8</v>
      </c>
      <c r="H958" t="n">
        <v>0</v>
      </c>
      <c r="I958" t="n">
        <v>0</v>
      </c>
      <c r="J958" t="n">
        <v>1</v>
      </c>
      <c r="K958" t="n">
        <v>1</v>
      </c>
      <c r="L958" t="n">
        <v>0</v>
      </c>
      <c r="M958" t="n">
        <v>0</v>
      </c>
      <c r="N958" t="n">
        <v>0</v>
      </c>
      <c r="O958" t="n">
        <v>2</v>
      </c>
      <c r="P958" t="n">
        <v>1</v>
      </c>
      <c r="Q958" t="n">
        <v>2</v>
      </c>
      <c r="R958" s="2" t="inlineStr">
        <is>
          <t>Tajgaskinn
Granticka</t>
        </is>
      </c>
      <c r="S958">
        <f>HYPERLINK("https://klasma.github.io/Logging_2462/artfynd/A 28013-2023 artfynd.xlsx", "A 28013-2023")</f>
        <v/>
      </c>
      <c r="T958">
        <f>HYPERLINK("https://klasma.github.io/Logging_2462/kartor/A 28013-2023 karta.png", "A 28013-2023")</f>
        <v/>
      </c>
      <c r="V958">
        <f>HYPERLINK("https://klasma.github.io/Logging_2462/klagomål/A 28013-2023 FSC-klagomål.docx", "A 28013-2023")</f>
        <v/>
      </c>
      <c r="W958">
        <f>HYPERLINK("https://klasma.github.io/Logging_2462/klagomålsmail/A 28013-2023 FSC-klagomål mail.docx", "A 28013-2023")</f>
        <v/>
      </c>
      <c r="X958">
        <f>HYPERLINK("https://klasma.github.io/Logging_2462/tillsyn/A 28013-2023 tillsynsbegäran.docx", "A 28013-2023")</f>
        <v/>
      </c>
      <c r="Y958">
        <f>HYPERLINK("https://klasma.github.io/Logging_2462/tillsynsmail/A 28013-2023 tillsynsbegäran mail.docx", "A 28013-2023")</f>
        <v/>
      </c>
    </row>
    <row r="959" ht="15" customHeight="1">
      <c r="A959" t="inlineStr">
        <is>
          <t>A 28012-2023</t>
        </is>
      </c>
      <c r="B959" s="1" t="n">
        <v>45098</v>
      </c>
      <c r="C959" s="1" t="n">
        <v>45788</v>
      </c>
      <c r="D959" t="inlineStr">
        <is>
          <t>VÄSTERBOTTENS LÄN</t>
        </is>
      </c>
      <c r="E959" t="inlineStr">
        <is>
          <t>VILHELMINA</t>
        </is>
      </c>
      <c r="F959" t="inlineStr">
        <is>
          <t>SCA</t>
        </is>
      </c>
      <c r="G959" t="n">
        <v>1.7</v>
      </c>
      <c r="H959" t="n">
        <v>1</v>
      </c>
      <c r="I959" t="n">
        <v>0</v>
      </c>
      <c r="J959" t="n">
        <v>2</v>
      </c>
      <c r="K959" t="n">
        <v>0</v>
      </c>
      <c r="L959" t="n">
        <v>0</v>
      </c>
      <c r="M959" t="n">
        <v>0</v>
      </c>
      <c r="N959" t="n">
        <v>0</v>
      </c>
      <c r="O959" t="n">
        <v>2</v>
      </c>
      <c r="P959" t="n">
        <v>0</v>
      </c>
      <c r="Q959" t="n">
        <v>2</v>
      </c>
      <c r="R959" s="2" t="inlineStr">
        <is>
          <t>Garnlav
Tretåig hackspett</t>
        </is>
      </c>
      <c r="S959">
        <f>HYPERLINK("https://klasma.github.io/Logging_2462/artfynd/A 28012-2023 artfynd.xlsx", "A 28012-2023")</f>
        <v/>
      </c>
      <c r="T959">
        <f>HYPERLINK("https://klasma.github.io/Logging_2462/kartor/A 28012-2023 karta.png", "A 28012-2023")</f>
        <v/>
      </c>
      <c r="V959">
        <f>HYPERLINK("https://klasma.github.io/Logging_2462/klagomål/A 28012-2023 FSC-klagomål.docx", "A 28012-2023")</f>
        <v/>
      </c>
      <c r="W959">
        <f>HYPERLINK("https://klasma.github.io/Logging_2462/klagomålsmail/A 28012-2023 FSC-klagomål mail.docx", "A 28012-2023")</f>
        <v/>
      </c>
      <c r="X959">
        <f>HYPERLINK("https://klasma.github.io/Logging_2462/tillsyn/A 28012-2023 tillsynsbegäran.docx", "A 28012-2023")</f>
        <v/>
      </c>
      <c r="Y959">
        <f>HYPERLINK("https://klasma.github.io/Logging_2462/tillsynsmail/A 28012-2023 tillsynsbegäran mail.docx", "A 28012-2023")</f>
        <v/>
      </c>
      <c r="Z959">
        <f>HYPERLINK("https://klasma.github.io/Logging_2462/fåglar/A 28012-2023 prioriterade fågelarter.docx", "A 28012-2023")</f>
        <v/>
      </c>
    </row>
    <row r="960" ht="15" customHeight="1">
      <c r="A960" t="inlineStr">
        <is>
          <t>A 28515-2023</t>
        </is>
      </c>
      <c r="B960" s="1" t="n">
        <v>45103</v>
      </c>
      <c r="C960" s="1" t="n">
        <v>45788</v>
      </c>
      <c r="D960" t="inlineStr">
        <is>
          <t>VÄSTERBOTTENS LÄN</t>
        </is>
      </c>
      <c r="E960" t="inlineStr">
        <is>
          <t>LYCKSELE</t>
        </is>
      </c>
      <c r="F960" t="inlineStr">
        <is>
          <t>Sveaskog</t>
        </is>
      </c>
      <c r="G960" t="n">
        <v>10</v>
      </c>
      <c r="H960" t="n">
        <v>0</v>
      </c>
      <c r="I960" t="n">
        <v>0</v>
      </c>
      <c r="J960" t="n">
        <v>2</v>
      </c>
      <c r="K960" t="n">
        <v>0</v>
      </c>
      <c r="L960" t="n">
        <v>0</v>
      </c>
      <c r="M960" t="n">
        <v>0</v>
      </c>
      <c r="N960" t="n">
        <v>0</v>
      </c>
      <c r="O960" t="n">
        <v>2</v>
      </c>
      <c r="P960" t="n">
        <v>0</v>
      </c>
      <c r="Q960" t="n">
        <v>2</v>
      </c>
      <c r="R960" s="2" t="inlineStr">
        <is>
          <t>Lunglav
Tallticka</t>
        </is>
      </c>
      <c r="S960">
        <f>HYPERLINK("https://klasma.github.io/Logging_2481/artfynd/A 28515-2023 artfynd.xlsx", "A 28515-2023")</f>
        <v/>
      </c>
      <c r="T960">
        <f>HYPERLINK("https://klasma.github.io/Logging_2481/kartor/A 28515-2023 karta.png", "A 28515-2023")</f>
        <v/>
      </c>
      <c r="V960">
        <f>HYPERLINK("https://klasma.github.io/Logging_2481/klagomål/A 28515-2023 FSC-klagomål.docx", "A 28515-2023")</f>
        <v/>
      </c>
      <c r="W960">
        <f>HYPERLINK("https://klasma.github.io/Logging_2481/klagomålsmail/A 28515-2023 FSC-klagomål mail.docx", "A 28515-2023")</f>
        <v/>
      </c>
      <c r="X960">
        <f>HYPERLINK("https://klasma.github.io/Logging_2481/tillsyn/A 28515-2023 tillsynsbegäran.docx", "A 28515-2023")</f>
        <v/>
      </c>
      <c r="Y960">
        <f>HYPERLINK("https://klasma.github.io/Logging_2481/tillsynsmail/A 28515-2023 tillsynsbegäran mail.docx", "A 28515-2023")</f>
        <v/>
      </c>
    </row>
    <row r="961" ht="15" customHeight="1">
      <c r="A961" t="inlineStr">
        <is>
          <t>A 29998-2023</t>
        </is>
      </c>
      <c r="B961" s="1" t="n">
        <v>45109</v>
      </c>
      <c r="C961" s="1" t="n">
        <v>45788</v>
      </c>
      <c r="D961" t="inlineStr">
        <is>
          <t>VÄSTERBOTTENS LÄN</t>
        </is>
      </c>
      <c r="E961" t="inlineStr">
        <is>
          <t>SKELLEFTEÅ</t>
        </is>
      </c>
      <c r="F961" t="inlineStr">
        <is>
          <t>Sveaskog</t>
        </is>
      </c>
      <c r="G961" t="n">
        <v>10.2</v>
      </c>
      <c r="H961" t="n">
        <v>0</v>
      </c>
      <c r="I961" t="n">
        <v>1</v>
      </c>
      <c r="J961" t="n">
        <v>1</v>
      </c>
      <c r="K961" t="n">
        <v>0</v>
      </c>
      <c r="L961" t="n">
        <v>0</v>
      </c>
      <c r="M961" t="n">
        <v>0</v>
      </c>
      <c r="N961" t="n">
        <v>0</v>
      </c>
      <c r="O961" t="n">
        <v>1</v>
      </c>
      <c r="P961" t="n">
        <v>0</v>
      </c>
      <c r="Q961" t="n">
        <v>2</v>
      </c>
      <c r="R961" s="2" t="inlineStr">
        <is>
          <t>Ullticka
Luddlav</t>
        </is>
      </c>
      <c r="S961">
        <f>HYPERLINK("https://klasma.github.io/Logging_2482/artfynd/A 29998-2023 artfynd.xlsx", "A 29998-2023")</f>
        <v/>
      </c>
      <c r="T961">
        <f>HYPERLINK("https://klasma.github.io/Logging_2482/kartor/A 29998-2023 karta.png", "A 29998-2023")</f>
        <v/>
      </c>
      <c r="V961">
        <f>HYPERLINK("https://klasma.github.io/Logging_2482/klagomål/A 29998-2023 FSC-klagomål.docx", "A 29998-2023")</f>
        <v/>
      </c>
      <c r="W961">
        <f>HYPERLINK("https://klasma.github.io/Logging_2482/klagomålsmail/A 29998-2023 FSC-klagomål mail.docx", "A 29998-2023")</f>
        <v/>
      </c>
      <c r="X961">
        <f>HYPERLINK("https://klasma.github.io/Logging_2482/tillsyn/A 29998-2023 tillsynsbegäran.docx", "A 29998-2023")</f>
        <v/>
      </c>
      <c r="Y961">
        <f>HYPERLINK("https://klasma.github.io/Logging_2482/tillsynsmail/A 29998-2023 tillsynsbegäran mail.docx", "A 29998-2023")</f>
        <v/>
      </c>
    </row>
    <row r="962" ht="15" customHeight="1">
      <c r="A962" t="inlineStr">
        <is>
          <t>A 30717-2023</t>
        </is>
      </c>
      <c r="B962" s="1" t="n">
        <v>45112</v>
      </c>
      <c r="C962" s="1" t="n">
        <v>45788</v>
      </c>
      <c r="D962" t="inlineStr">
        <is>
          <t>VÄSTERBOTTENS LÄN</t>
        </is>
      </c>
      <c r="E962" t="inlineStr">
        <is>
          <t>VILHELMINA</t>
        </is>
      </c>
      <c r="G962" t="n">
        <v>22.7</v>
      </c>
      <c r="H962" t="n">
        <v>0</v>
      </c>
      <c r="I962" t="n">
        <v>0</v>
      </c>
      <c r="J962" t="n">
        <v>2</v>
      </c>
      <c r="K962" t="n">
        <v>0</v>
      </c>
      <c r="L962" t="n">
        <v>0</v>
      </c>
      <c r="M962" t="n">
        <v>0</v>
      </c>
      <c r="N962" t="n">
        <v>0</v>
      </c>
      <c r="O962" t="n">
        <v>2</v>
      </c>
      <c r="P962" t="n">
        <v>0</v>
      </c>
      <c r="Q962" t="n">
        <v>2</v>
      </c>
      <c r="R962" s="2" t="inlineStr">
        <is>
          <t>Garnlav
Ullticka</t>
        </is>
      </c>
      <c r="S962">
        <f>HYPERLINK("https://klasma.github.io/Logging_2462/artfynd/A 30717-2023 artfynd.xlsx", "A 30717-2023")</f>
        <v/>
      </c>
      <c r="T962">
        <f>HYPERLINK("https://klasma.github.io/Logging_2462/kartor/A 30717-2023 karta.png", "A 30717-2023")</f>
        <v/>
      </c>
      <c r="V962">
        <f>HYPERLINK("https://klasma.github.io/Logging_2462/klagomål/A 30717-2023 FSC-klagomål.docx", "A 30717-2023")</f>
        <v/>
      </c>
      <c r="W962">
        <f>HYPERLINK("https://klasma.github.io/Logging_2462/klagomålsmail/A 30717-2023 FSC-klagomål mail.docx", "A 30717-2023")</f>
        <v/>
      </c>
      <c r="X962">
        <f>HYPERLINK("https://klasma.github.io/Logging_2462/tillsyn/A 30717-2023 tillsynsbegäran.docx", "A 30717-2023")</f>
        <v/>
      </c>
      <c r="Y962">
        <f>HYPERLINK("https://klasma.github.io/Logging_2462/tillsynsmail/A 30717-2023 tillsynsbegäran mail.docx", "A 30717-2023")</f>
        <v/>
      </c>
    </row>
    <row r="963" ht="15" customHeight="1">
      <c r="A963" t="inlineStr">
        <is>
          <t>A 31206-2023</t>
        </is>
      </c>
      <c r="B963" s="1" t="n">
        <v>45113</v>
      </c>
      <c r="C963" s="1" t="n">
        <v>45788</v>
      </c>
      <c r="D963" t="inlineStr">
        <is>
          <t>VÄSTERBOTTENS LÄN</t>
        </is>
      </c>
      <c r="E963" t="inlineStr">
        <is>
          <t>BJURHOLM</t>
        </is>
      </c>
      <c r="F963" t="inlineStr">
        <is>
          <t>SCA</t>
        </is>
      </c>
      <c r="G963" t="n">
        <v>6</v>
      </c>
      <c r="H963" t="n">
        <v>0</v>
      </c>
      <c r="I963" t="n">
        <v>1</v>
      </c>
      <c r="J963" t="n">
        <v>1</v>
      </c>
      <c r="K963" t="n">
        <v>0</v>
      </c>
      <c r="L963" t="n">
        <v>0</v>
      </c>
      <c r="M963" t="n">
        <v>0</v>
      </c>
      <c r="N963" t="n">
        <v>0</v>
      </c>
      <c r="O963" t="n">
        <v>1</v>
      </c>
      <c r="P963" t="n">
        <v>0</v>
      </c>
      <c r="Q963" t="n">
        <v>2</v>
      </c>
      <c r="R963" s="2" t="inlineStr">
        <is>
          <t>Garnlav
Skarp dropptaggsvamp</t>
        </is>
      </c>
      <c r="S963">
        <f>HYPERLINK("https://klasma.github.io/Logging_2403/artfynd/A 31206-2023 artfynd.xlsx", "A 31206-2023")</f>
        <v/>
      </c>
      <c r="T963">
        <f>HYPERLINK("https://klasma.github.io/Logging_2403/kartor/A 31206-2023 karta.png", "A 31206-2023")</f>
        <v/>
      </c>
      <c r="U963">
        <f>HYPERLINK("https://klasma.github.io/Logging_2403/knärot/A 31206-2023 karta knärot.png", "A 31206-2023")</f>
        <v/>
      </c>
      <c r="V963">
        <f>HYPERLINK("https://klasma.github.io/Logging_2403/klagomål/A 31206-2023 FSC-klagomål.docx", "A 31206-2023")</f>
        <v/>
      </c>
      <c r="W963">
        <f>HYPERLINK("https://klasma.github.io/Logging_2403/klagomålsmail/A 31206-2023 FSC-klagomål mail.docx", "A 31206-2023")</f>
        <v/>
      </c>
      <c r="X963">
        <f>HYPERLINK("https://klasma.github.io/Logging_2403/tillsyn/A 31206-2023 tillsynsbegäran.docx", "A 31206-2023")</f>
        <v/>
      </c>
      <c r="Y963">
        <f>HYPERLINK("https://klasma.github.io/Logging_2403/tillsynsmail/A 31206-2023 tillsynsbegäran mail.docx", "A 31206-2023")</f>
        <v/>
      </c>
    </row>
    <row r="964" ht="15" customHeight="1">
      <c r="A964" t="inlineStr">
        <is>
          <t>A 31444-2023</t>
        </is>
      </c>
      <c r="B964" s="1" t="n">
        <v>45114</v>
      </c>
      <c r="C964" s="1" t="n">
        <v>45788</v>
      </c>
      <c r="D964" t="inlineStr">
        <is>
          <t>VÄSTERBOTTENS LÄN</t>
        </is>
      </c>
      <c r="E964" t="inlineStr">
        <is>
          <t>UMEÅ</t>
        </is>
      </c>
      <c r="F964" t="inlineStr">
        <is>
          <t>Holmen skog AB</t>
        </is>
      </c>
      <c r="G964" t="n">
        <v>9.4</v>
      </c>
      <c r="H964" t="n">
        <v>0</v>
      </c>
      <c r="I964" t="n">
        <v>0</v>
      </c>
      <c r="J964" t="n">
        <v>2</v>
      </c>
      <c r="K964" t="n">
        <v>0</v>
      </c>
      <c r="L964" t="n">
        <v>0</v>
      </c>
      <c r="M964" t="n">
        <v>0</v>
      </c>
      <c r="N964" t="n">
        <v>0</v>
      </c>
      <c r="O964" t="n">
        <v>2</v>
      </c>
      <c r="P964" t="n">
        <v>0</v>
      </c>
      <c r="Q964" t="n">
        <v>2</v>
      </c>
      <c r="R964" s="2" t="inlineStr">
        <is>
          <t>Kolflarnlav
Vedflamlav</t>
        </is>
      </c>
      <c r="S964">
        <f>HYPERLINK("https://klasma.github.io/Logging_2480/artfynd/A 31444-2023 artfynd.xlsx", "A 31444-2023")</f>
        <v/>
      </c>
      <c r="T964">
        <f>HYPERLINK("https://klasma.github.io/Logging_2480/kartor/A 31444-2023 karta.png", "A 31444-2023")</f>
        <v/>
      </c>
      <c r="V964">
        <f>HYPERLINK("https://klasma.github.io/Logging_2480/klagomål/A 31444-2023 FSC-klagomål.docx", "A 31444-2023")</f>
        <v/>
      </c>
      <c r="W964">
        <f>HYPERLINK("https://klasma.github.io/Logging_2480/klagomålsmail/A 31444-2023 FSC-klagomål mail.docx", "A 31444-2023")</f>
        <v/>
      </c>
      <c r="X964">
        <f>HYPERLINK("https://klasma.github.io/Logging_2480/tillsyn/A 31444-2023 tillsynsbegäran.docx", "A 31444-2023")</f>
        <v/>
      </c>
      <c r="Y964">
        <f>HYPERLINK("https://klasma.github.io/Logging_2480/tillsynsmail/A 31444-2023 tillsynsbegäran mail.docx", "A 31444-2023")</f>
        <v/>
      </c>
    </row>
    <row r="965" ht="15" customHeight="1">
      <c r="A965" t="inlineStr">
        <is>
          <t>A 31737-2023</t>
        </is>
      </c>
      <c r="B965" s="1" t="n">
        <v>45117</v>
      </c>
      <c r="C965" s="1" t="n">
        <v>45788</v>
      </c>
      <c r="D965" t="inlineStr">
        <is>
          <t>VÄSTERBOTTENS LÄN</t>
        </is>
      </c>
      <c r="E965" t="inlineStr">
        <is>
          <t>BJURHOLM</t>
        </is>
      </c>
      <c r="F965" t="inlineStr">
        <is>
          <t>SCA</t>
        </is>
      </c>
      <c r="G965" t="n">
        <v>4.5</v>
      </c>
      <c r="H965" t="n">
        <v>0</v>
      </c>
      <c r="I965" t="n">
        <v>0</v>
      </c>
      <c r="J965" t="n">
        <v>2</v>
      </c>
      <c r="K965" t="n">
        <v>0</v>
      </c>
      <c r="L965" t="n">
        <v>0</v>
      </c>
      <c r="M965" t="n">
        <v>0</v>
      </c>
      <c r="N965" t="n">
        <v>0</v>
      </c>
      <c r="O965" t="n">
        <v>2</v>
      </c>
      <c r="P965" t="n">
        <v>0</v>
      </c>
      <c r="Q965" t="n">
        <v>2</v>
      </c>
      <c r="R965" s="2" t="inlineStr">
        <is>
          <t>Dvärgbägarlav
Vedskivlav</t>
        </is>
      </c>
      <c r="S965">
        <f>HYPERLINK("https://klasma.github.io/Logging_2403/artfynd/A 31737-2023 artfynd.xlsx", "A 31737-2023")</f>
        <v/>
      </c>
      <c r="T965">
        <f>HYPERLINK("https://klasma.github.io/Logging_2403/kartor/A 31737-2023 karta.png", "A 31737-2023")</f>
        <v/>
      </c>
      <c r="V965">
        <f>HYPERLINK("https://klasma.github.io/Logging_2403/klagomål/A 31737-2023 FSC-klagomål.docx", "A 31737-2023")</f>
        <v/>
      </c>
      <c r="W965">
        <f>HYPERLINK("https://klasma.github.io/Logging_2403/klagomålsmail/A 31737-2023 FSC-klagomål mail.docx", "A 31737-2023")</f>
        <v/>
      </c>
      <c r="X965">
        <f>HYPERLINK("https://klasma.github.io/Logging_2403/tillsyn/A 31737-2023 tillsynsbegäran.docx", "A 31737-2023")</f>
        <v/>
      </c>
      <c r="Y965">
        <f>HYPERLINK("https://klasma.github.io/Logging_2403/tillsynsmail/A 31737-2023 tillsynsbegäran mail.docx", "A 31737-2023")</f>
        <v/>
      </c>
    </row>
    <row r="966" ht="15" customHeight="1">
      <c r="A966" t="inlineStr">
        <is>
          <t>A 33663-2023</t>
        </is>
      </c>
      <c r="B966" s="1" t="n">
        <v>45119</v>
      </c>
      <c r="C966" s="1" t="n">
        <v>45788</v>
      </c>
      <c r="D966" t="inlineStr">
        <is>
          <t>VÄSTERBOTTENS LÄN</t>
        </is>
      </c>
      <c r="E966" t="inlineStr">
        <is>
          <t>DOROTEA</t>
        </is>
      </c>
      <c r="F966" t="inlineStr">
        <is>
          <t>Allmännings- och besparingsskogar</t>
        </is>
      </c>
      <c r="G966" t="n">
        <v>2.6</v>
      </c>
      <c r="H966" t="n">
        <v>0</v>
      </c>
      <c r="I966" t="n">
        <v>0</v>
      </c>
      <c r="J966" t="n">
        <v>2</v>
      </c>
      <c r="K966" t="n">
        <v>0</v>
      </c>
      <c r="L966" t="n">
        <v>0</v>
      </c>
      <c r="M966" t="n">
        <v>0</v>
      </c>
      <c r="N966" t="n">
        <v>0</v>
      </c>
      <c r="O966" t="n">
        <v>2</v>
      </c>
      <c r="P966" t="n">
        <v>0</v>
      </c>
      <c r="Q966" t="n">
        <v>2</v>
      </c>
      <c r="R966" s="2" t="inlineStr">
        <is>
          <t>Garnlav
Harticka</t>
        </is>
      </c>
      <c r="S966">
        <f>HYPERLINK("https://klasma.github.io/Logging_2425/artfynd/A 33663-2023 artfynd.xlsx", "A 33663-2023")</f>
        <v/>
      </c>
      <c r="T966">
        <f>HYPERLINK("https://klasma.github.io/Logging_2425/kartor/A 33663-2023 karta.png", "A 33663-2023")</f>
        <v/>
      </c>
      <c r="V966">
        <f>HYPERLINK("https://klasma.github.io/Logging_2425/klagomål/A 33663-2023 FSC-klagomål.docx", "A 33663-2023")</f>
        <v/>
      </c>
      <c r="W966">
        <f>HYPERLINK("https://klasma.github.io/Logging_2425/klagomålsmail/A 33663-2023 FSC-klagomål mail.docx", "A 33663-2023")</f>
        <v/>
      </c>
      <c r="X966">
        <f>HYPERLINK("https://klasma.github.io/Logging_2425/tillsyn/A 33663-2023 tillsynsbegäran.docx", "A 33663-2023")</f>
        <v/>
      </c>
      <c r="Y966">
        <f>HYPERLINK("https://klasma.github.io/Logging_2425/tillsynsmail/A 33663-2023 tillsynsbegäran mail.docx", "A 33663-2023")</f>
        <v/>
      </c>
    </row>
    <row r="967" ht="15" customHeight="1">
      <c r="A967" t="inlineStr">
        <is>
          <t>A 34089-2023</t>
        </is>
      </c>
      <c r="B967" s="1" t="n">
        <v>45125</v>
      </c>
      <c r="C967" s="1" t="n">
        <v>45788</v>
      </c>
      <c r="D967" t="inlineStr">
        <is>
          <t>VÄSTERBOTTENS LÄN</t>
        </is>
      </c>
      <c r="E967" t="inlineStr">
        <is>
          <t>VILHELMINA</t>
        </is>
      </c>
      <c r="G967" t="n">
        <v>24.1</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34089-2023 artfynd.xlsx", "A 34089-2023")</f>
        <v/>
      </c>
      <c r="T967">
        <f>HYPERLINK("https://klasma.github.io/Logging_2462/kartor/A 34089-2023 karta.png", "A 34089-2023")</f>
        <v/>
      </c>
      <c r="V967">
        <f>HYPERLINK("https://klasma.github.io/Logging_2462/klagomål/A 34089-2023 FSC-klagomål.docx", "A 34089-2023")</f>
        <v/>
      </c>
      <c r="W967">
        <f>HYPERLINK("https://klasma.github.io/Logging_2462/klagomålsmail/A 34089-2023 FSC-klagomål mail.docx", "A 34089-2023")</f>
        <v/>
      </c>
      <c r="X967">
        <f>HYPERLINK("https://klasma.github.io/Logging_2462/tillsyn/A 34089-2023 tillsynsbegäran.docx", "A 34089-2023")</f>
        <v/>
      </c>
      <c r="Y967">
        <f>HYPERLINK("https://klasma.github.io/Logging_2462/tillsynsmail/A 34089-2023 tillsynsbegäran mail.docx", "A 34089-2023")</f>
        <v/>
      </c>
      <c r="Z967">
        <f>HYPERLINK("https://klasma.github.io/Logging_2462/fåglar/A 34089-2023 prioriterade fågelarter.docx", "A 34089-2023")</f>
        <v/>
      </c>
    </row>
    <row r="968" ht="15" customHeight="1">
      <c r="A968" t="inlineStr">
        <is>
          <t>A 34870-2023</t>
        </is>
      </c>
      <c r="B968" s="1" t="n">
        <v>45142</v>
      </c>
      <c r="C968" s="1" t="n">
        <v>45788</v>
      </c>
      <c r="D968" t="inlineStr">
        <is>
          <t>VÄSTERBOTTENS LÄN</t>
        </is>
      </c>
      <c r="E968" t="inlineStr">
        <is>
          <t>LYCKSELE</t>
        </is>
      </c>
      <c r="F968" t="inlineStr">
        <is>
          <t>Sveaskog</t>
        </is>
      </c>
      <c r="G968" t="n">
        <v>10.9</v>
      </c>
      <c r="H968" t="n">
        <v>0</v>
      </c>
      <c r="I968" t="n">
        <v>0</v>
      </c>
      <c r="J968" t="n">
        <v>2</v>
      </c>
      <c r="K968" t="n">
        <v>0</v>
      </c>
      <c r="L968" t="n">
        <v>0</v>
      </c>
      <c r="M968" t="n">
        <v>0</v>
      </c>
      <c r="N968" t="n">
        <v>0</v>
      </c>
      <c r="O968" t="n">
        <v>2</v>
      </c>
      <c r="P968" t="n">
        <v>0</v>
      </c>
      <c r="Q968" t="n">
        <v>2</v>
      </c>
      <c r="R968" s="2" t="inlineStr">
        <is>
          <t>Lunglav
Mörk kolflarnlav</t>
        </is>
      </c>
      <c r="S968">
        <f>HYPERLINK("https://klasma.github.io/Logging_2481/artfynd/A 34870-2023 artfynd.xlsx", "A 34870-2023")</f>
        <v/>
      </c>
      <c r="T968">
        <f>HYPERLINK("https://klasma.github.io/Logging_2481/kartor/A 34870-2023 karta.png", "A 34870-2023")</f>
        <v/>
      </c>
      <c r="V968">
        <f>HYPERLINK("https://klasma.github.io/Logging_2481/klagomål/A 34870-2023 FSC-klagomål.docx", "A 34870-2023")</f>
        <v/>
      </c>
      <c r="W968">
        <f>HYPERLINK("https://klasma.github.io/Logging_2481/klagomålsmail/A 34870-2023 FSC-klagomål mail.docx", "A 34870-2023")</f>
        <v/>
      </c>
      <c r="X968">
        <f>HYPERLINK("https://klasma.github.io/Logging_2481/tillsyn/A 34870-2023 tillsynsbegäran.docx", "A 34870-2023")</f>
        <v/>
      </c>
      <c r="Y968">
        <f>HYPERLINK("https://klasma.github.io/Logging_2481/tillsynsmail/A 34870-2023 tillsynsbegäran mail.docx", "A 34870-2023")</f>
        <v/>
      </c>
    </row>
    <row r="969" ht="15" customHeight="1">
      <c r="A969" t="inlineStr">
        <is>
          <t>A 35513-2023</t>
        </is>
      </c>
      <c r="B969" s="1" t="n">
        <v>45147</v>
      </c>
      <c r="C969" s="1" t="n">
        <v>45788</v>
      </c>
      <c r="D969" t="inlineStr">
        <is>
          <t>VÄSTERBOTTENS LÄN</t>
        </is>
      </c>
      <c r="E969" t="inlineStr">
        <is>
          <t>SKELLEFTEÅ</t>
        </is>
      </c>
      <c r="F969" t="inlineStr">
        <is>
          <t>Holmen skog AB</t>
        </is>
      </c>
      <c r="G969" t="n">
        <v>16.9</v>
      </c>
      <c r="H969" t="n">
        <v>0</v>
      </c>
      <c r="I969" t="n">
        <v>0</v>
      </c>
      <c r="J969" t="n">
        <v>2</v>
      </c>
      <c r="K969" t="n">
        <v>0</v>
      </c>
      <c r="L969" t="n">
        <v>0</v>
      </c>
      <c r="M969" t="n">
        <v>0</v>
      </c>
      <c r="N969" t="n">
        <v>0</v>
      </c>
      <c r="O969" t="n">
        <v>2</v>
      </c>
      <c r="P969" t="n">
        <v>0</v>
      </c>
      <c r="Q969" t="n">
        <v>2</v>
      </c>
      <c r="R969" s="2" t="inlineStr">
        <is>
          <t>Gultoppig fingersvamp
Orange taggsvamp</t>
        </is>
      </c>
      <c r="S969">
        <f>HYPERLINK("https://klasma.github.io/Logging_2482/artfynd/A 35513-2023 artfynd.xlsx", "A 35513-2023")</f>
        <v/>
      </c>
      <c r="T969">
        <f>HYPERLINK("https://klasma.github.io/Logging_2482/kartor/A 35513-2023 karta.png", "A 35513-2023")</f>
        <v/>
      </c>
      <c r="V969">
        <f>HYPERLINK("https://klasma.github.io/Logging_2482/klagomål/A 35513-2023 FSC-klagomål.docx", "A 35513-2023")</f>
        <v/>
      </c>
      <c r="W969">
        <f>HYPERLINK("https://klasma.github.io/Logging_2482/klagomålsmail/A 35513-2023 FSC-klagomål mail.docx", "A 35513-2023")</f>
        <v/>
      </c>
      <c r="X969">
        <f>HYPERLINK("https://klasma.github.io/Logging_2482/tillsyn/A 35513-2023 tillsynsbegäran.docx", "A 35513-2023")</f>
        <v/>
      </c>
      <c r="Y969">
        <f>HYPERLINK("https://klasma.github.io/Logging_2482/tillsynsmail/A 35513-2023 tillsynsbegäran mail.docx", "A 35513-2023")</f>
        <v/>
      </c>
    </row>
    <row r="970" ht="15" customHeight="1">
      <c r="A970" t="inlineStr">
        <is>
          <t>A 35988-2023</t>
        </is>
      </c>
      <c r="B970" s="1" t="n">
        <v>45148</v>
      </c>
      <c r="C970" s="1" t="n">
        <v>45788</v>
      </c>
      <c r="D970" t="inlineStr">
        <is>
          <t>VÄSTERBOTTENS LÄN</t>
        </is>
      </c>
      <c r="E970" t="inlineStr">
        <is>
          <t>DOROTEA</t>
        </is>
      </c>
      <c r="F970" t="inlineStr">
        <is>
          <t>SCA</t>
        </is>
      </c>
      <c r="G970" t="n">
        <v>14.1</v>
      </c>
      <c r="H970" t="n">
        <v>0</v>
      </c>
      <c r="I970" t="n">
        <v>1</v>
      </c>
      <c r="J970" t="n">
        <v>1</v>
      </c>
      <c r="K970" t="n">
        <v>0</v>
      </c>
      <c r="L970" t="n">
        <v>0</v>
      </c>
      <c r="M970" t="n">
        <v>0</v>
      </c>
      <c r="N970" t="n">
        <v>0</v>
      </c>
      <c r="O970" t="n">
        <v>1</v>
      </c>
      <c r="P970" t="n">
        <v>0</v>
      </c>
      <c r="Q970" t="n">
        <v>2</v>
      </c>
      <c r="R970" s="2" t="inlineStr">
        <is>
          <t>Luddfingersvamp
Ögonpyrola</t>
        </is>
      </c>
      <c r="S970">
        <f>HYPERLINK("https://klasma.github.io/Logging_2425/artfynd/A 35988-2023 artfynd.xlsx", "A 35988-2023")</f>
        <v/>
      </c>
      <c r="T970">
        <f>HYPERLINK("https://klasma.github.io/Logging_2425/kartor/A 35988-2023 karta.png", "A 35988-2023")</f>
        <v/>
      </c>
      <c r="V970">
        <f>HYPERLINK("https://klasma.github.io/Logging_2425/klagomål/A 35988-2023 FSC-klagomål.docx", "A 35988-2023")</f>
        <v/>
      </c>
      <c r="W970">
        <f>HYPERLINK("https://klasma.github.io/Logging_2425/klagomålsmail/A 35988-2023 FSC-klagomål mail.docx", "A 35988-2023")</f>
        <v/>
      </c>
      <c r="X970">
        <f>HYPERLINK("https://klasma.github.io/Logging_2425/tillsyn/A 35988-2023 tillsynsbegäran.docx", "A 35988-2023")</f>
        <v/>
      </c>
      <c r="Y970">
        <f>HYPERLINK("https://klasma.github.io/Logging_2425/tillsynsmail/A 35988-2023 tillsynsbegäran mail.docx", "A 35988-2023")</f>
        <v/>
      </c>
    </row>
    <row r="971" ht="15" customHeight="1">
      <c r="A971" t="inlineStr">
        <is>
          <t>A 36434-2023</t>
        </is>
      </c>
      <c r="B971" s="1" t="n">
        <v>45152</v>
      </c>
      <c r="C971" s="1" t="n">
        <v>45788</v>
      </c>
      <c r="D971" t="inlineStr">
        <is>
          <t>VÄSTERBOTTENS LÄN</t>
        </is>
      </c>
      <c r="E971" t="inlineStr">
        <is>
          <t>VINDELN</t>
        </is>
      </c>
      <c r="F971" t="inlineStr">
        <is>
          <t>Holmen skog AB</t>
        </is>
      </c>
      <c r="G971" t="n">
        <v>10.7</v>
      </c>
      <c r="H971" t="n">
        <v>0</v>
      </c>
      <c r="I971" t="n">
        <v>2</v>
      </c>
      <c r="J971" t="n">
        <v>0</v>
      </c>
      <c r="K971" t="n">
        <v>0</v>
      </c>
      <c r="L971" t="n">
        <v>0</v>
      </c>
      <c r="M971" t="n">
        <v>0</v>
      </c>
      <c r="N971" t="n">
        <v>0</v>
      </c>
      <c r="O971" t="n">
        <v>0</v>
      </c>
      <c r="P971" t="n">
        <v>0</v>
      </c>
      <c r="Q971" t="n">
        <v>2</v>
      </c>
      <c r="R971" s="2" t="inlineStr">
        <is>
          <t>Dropptaggsvamp
Mindre märgborre</t>
        </is>
      </c>
      <c r="S971">
        <f>HYPERLINK("https://klasma.github.io/Logging_2404/artfynd/A 36434-2023 artfynd.xlsx", "A 36434-2023")</f>
        <v/>
      </c>
      <c r="T971">
        <f>HYPERLINK("https://klasma.github.io/Logging_2404/kartor/A 36434-2023 karta.png", "A 36434-2023")</f>
        <v/>
      </c>
      <c r="V971">
        <f>HYPERLINK("https://klasma.github.io/Logging_2404/klagomål/A 36434-2023 FSC-klagomål.docx", "A 36434-2023")</f>
        <v/>
      </c>
      <c r="W971">
        <f>HYPERLINK("https://klasma.github.io/Logging_2404/klagomålsmail/A 36434-2023 FSC-klagomål mail.docx", "A 36434-2023")</f>
        <v/>
      </c>
      <c r="X971">
        <f>HYPERLINK("https://klasma.github.io/Logging_2404/tillsyn/A 36434-2023 tillsynsbegäran.docx", "A 36434-2023")</f>
        <v/>
      </c>
      <c r="Y971">
        <f>HYPERLINK("https://klasma.github.io/Logging_2404/tillsynsmail/A 36434-2023 tillsynsbegäran mail.docx", "A 36434-2023")</f>
        <v/>
      </c>
    </row>
    <row r="972" ht="15" customHeight="1">
      <c r="A972" t="inlineStr">
        <is>
          <t>A 36561-2023</t>
        </is>
      </c>
      <c r="B972" s="1" t="n">
        <v>45153</v>
      </c>
      <c r="C972" s="1" t="n">
        <v>45788</v>
      </c>
      <c r="D972" t="inlineStr">
        <is>
          <t>VÄSTERBOTTENS LÄN</t>
        </is>
      </c>
      <c r="E972" t="inlineStr">
        <is>
          <t>ROBERTSFORS</t>
        </is>
      </c>
      <c r="F972" t="inlineStr">
        <is>
          <t>Holmen skog AB</t>
        </is>
      </c>
      <c r="G972" t="n">
        <v>2.2</v>
      </c>
      <c r="H972" t="n">
        <v>2</v>
      </c>
      <c r="I972" t="n">
        <v>0</v>
      </c>
      <c r="J972" t="n">
        <v>0</v>
      </c>
      <c r="K972" t="n">
        <v>0</v>
      </c>
      <c r="L972" t="n">
        <v>0</v>
      </c>
      <c r="M972" t="n">
        <v>0</v>
      </c>
      <c r="N972" t="n">
        <v>0</v>
      </c>
      <c r="O972" t="n">
        <v>0</v>
      </c>
      <c r="P972" t="n">
        <v>0</v>
      </c>
      <c r="Q972" t="n">
        <v>2</v>
      </c>
      <c r="R972" s="2" t="inlineStr">
        <is>
          <t>Fläcknycklar
Revlummer</t>
        </is>
      </c>
      <c r="S972">
        <f>HYPERLINK("https://klasma.github.io/Logging_2409/artfynd/A 36561-2023 artfynd.xlsx", "A 36561-2023")</f>
        <v/>
      </c>
      <c r="T972">
        <f>HYPERLINK("https://klasma.github.io/Logging_2409/kartor/A 36561-2023 karta.png", "A 36561-2023")</f>
        <v/>
      </c>
      <c r="V972">
        <f>HYPERLINK("https://klasma.github.io/Logging_2409/klagomål/A 36561-2023 FSC-klagomål.docx", "A 36561-2023")</f>
        <v/>
      </c>
      <c r="W972">
        <f>HYPERLINK("https://klasma.github.io/Logging_2409/klagomålsmail/A 36561-2023 FSC-klagomål mail.docx", "A 36561-2023")</f>
        <v/>
      </c>
      <c r="X972">
        <f>HYPERLINK("https://klasma.github.io/Logging_2409/tillsyn/A 36561-2023 tillsynsbegäran.docx", "A 36561-2023")</f>
        <v/>
      </c>
      <c r="Y972">
        <f>HYPERLINK("https://klasma.github.io/Logging_2409/tillsynsmail/A 36561-2023 tillsynsbegäran mail.docx", "A 36561-2023")</f>
        <v/>
      </c>
    </row>
    <row r="973" ht="15" customHeight="1">
      <c r="A973" t="inlineStr">
        <is>
          <t>A 37257-2023</t>
        </is>
      </c>
      <c r="B973" s="1" t="n">
        <v>45156</v>
      </c>
      <c r="C973" s="1" t="n">
        <v>45788</v>
      </c>
      <c r="D973" t="inlineStr">
        <is>
          <t>VÄSTERBOTTENS LÄN</t>
        </is>
      </c>
      <c r="E973" t="inlineStr">
        <is>
          <t>VINDELN</t>
        </is>
      </c>
      <c r="F973" t="inlineStr">
        <is>
          <t>SCA</t>
        </is>
      </c>
      <c r="G973" t="n">
        <v>2.7</v>
      </c>
      <c r="H973" t="n">
        <v>0</v>
      </c>
      <c r="I973" t="n">
        <v>1</v>
      </c>
      <c r="J973" t="n">
        <v>1</v>
      </c>
      <c r="K973" t="n">
        <v>0</v>
      </c>
      <c r="L973" t="n">
        <v>0</v>
      </c>
      <c r="M973" t="n">
        <v>0</v>
      </c>
      <c r="N973" t="n">
        <v>0</v>
      </c>
      <c r="O973" t="n">
        <v>1</v>
      </c>
      <c r="P973" t="n">
        <v>0</v>
      </c>
      <c r="Q973" t="n">
        <v>2</v>
      </c>
      <c r="R973" s="2" t="inlineStr">
        <is>
          <t>Ullticka
Vedticka</t>
        </is>
      </c>
      <c r="S973">
        <f>HYPERLINK("https://klasma.github.io/Logging_2404/artfynd/A 37257-2023 artfynd.xlsx", "A 37257-2023")</f>
        <v/>
      </c>
      <c r="T973">
        <f>HYPERLINK("https://klasma.github.io/Logging_2404/kartor/A 37257-2023 karta.png", "A 37257-2023")</f>
        <v/>
      </c>
      <c r="V973">
        <f>HYPERLINK("https://klasma.github.io/Logging_2404/klagomål/A 37257-2023 FSC-klagomål.docx", "A 37257-2023")</f>
        <v/>
      </c>
      <c r="W973">
        <f>HYPERLINK("https://klasma.github.io/Logging_2404/klagomålsmail/A 37257-2023 FSC-klagomål mail.docx", "A 37257-2023")</f>
        <v/>
      </c>
      <c r="X973">
        <f>HYPERLINK("https://klasma.github.io/Logging_2404/tillsyn/A 37257-2023 tillsynsbegäran.docx", "A 37257-2023")</f>
        <v/>
      </c>
      <c r="Y973">
        <f>HYPERLINK("https://klasma.github.io/Logging_2404/tillsynsmail/A 37257-2023 tillsynsbegäran mail.docx", "A 37257-2023")</f>
        <v/>
      </c>
    </row>
    <row r="974" ht="15" customHeight="1">
      <c r="A974" t="inlineStr">
        <is>
          <t>A 37542-2023</t>
        </is>
      </c>
      <c r="B974" s="1" t="n">
        <v>45158</v>
      </c>
      <c r="C974" s="1" t="n">
        <v>45788</v>
      </c>
      <c r="D974" t="inlineStr">
        <is>
          <t>VÄSTERBOTTENS LÄN</t>
        </is>
      </c>
      <c r="E974" t="inlineStr">
        <is>
          <t>DOROTEA</t>
        </is>
      </c>
      <c r="F974" t="inlineStr">
        <is>
          <t>SCA</t>
        </is>
      </c>
      <c r="G974" t="n">
        <v>12</v>
      </c>
      <c r="H974" t="n">
        <v>0</v>
      </c>
      <c r="I974" t="n">
        <v>1</v>
      </c>
      <c r="J974" t="n">
        <v>1</v>
      </c>
      <c r="K974" t="n">
        <v>0</v>
      </c>
      <c r="L974" t="n">
        <v>0</v>
      </c>
      <c r="M974" t="n">
        <v>0</v>
      </c>
      <c r="N974" t="n">
        <v>0</v>
      </c>
      <c r="O974" t="n">
        <v>1</v>
      </c>
      <c r="P974" t="n">
        <v>0</v>
      </c>
      <c r="Q974" t="n">
        <v>2</v>
      </c>
      <c r="R974" s="2" t="inlineStr">
        <is>
          <t>Lunglav
Tibast</t>
        </is>
      </c>
      <c r="S974">
        <f>HYPERLINK("https://klasma.github.io/Logging_2425/artfynd/A 37542-2023 artfynd.xlsx", "A 37542-2023")</f>
        <v/>
      </c>
      <c r="T974">
        <f>HYPERLINK("https://klasma.github.io/Logging_2425/kartor/A 37542-2023 karta.png", "A 37542-2023")</f>
        <v/>
      </c>
      <c r="V974">
        <f>HYPERLINK("https://klasma.github.io/Logging_2425/klagomål/A 37542-2023 FSC-klagomål.docx", "A 37542-2023")</f>
        <v/>
      </c>
      <c r="W974">
        <f>HYPERLINK("https://klasma.github.io/Logging_2425/klagomålsmail/A 37542-2023 FSC-klagomål mail.docx", "A 37542-2023")</f>
        <v/>
      </c>
      <c r="X974">
        <f>HYPERLINK("https://klasma.github.io/Logging_2425/tillsyn/A 37542-2023 tillsynsbegäran.docx", "A 37542-2023")</f>
        <v/>
      </c>
      <c r="Y974">
        <f>HYPERLINK("https://klasma.github.io/Logging_2425/tillsynsmail/A 37542-2023 tillsynsbegäran mail.docx", "A 37542-2023")</f>
        <v/>
      </c>
    </row>
    <row r="975" ht="15" customHeight="1">
      <c r="A975" t="inlineStr">
        <is>
          <t>A 38062-2023</t>
        </is>
      </c>
      <c r="B975" s="1" t="n">
        <v>45159</v>
      </c>
      <c r="C975" s="1" t="n">
        <v>45788</v>
      </c>
      <c r="D975" t="inlineStr">
        <is>
          <t>VÄSTERBOTTENS LÄN</t>
        </is>
      </c>
      <c r="E975" t="inlineStr">
        <is>
          <t>VINDELN</t>
        </is>
      </c>
      <c r="G975" t="n">
        <v>11.7</v>
      </c>
      <c r="H975" t="n">
        <v>0</v>
      </c>
      <c r="I975" t="n">
        <v>1</v>
      </c>
      <c r="J975" t="n">
        <v>1</v>
      </c>
      <c r="K975" t="n">
        <v>0</v>
      </c>
      <c r="L975" t="n">
        <v>0</v>
      </c>
      <c r="M975" t="n">
        <v>0</v>
      </c>
      <c r="N975" t="n">
        <v>0</v>
      </c>
      <c r="O975" t="n">
        <v>1</v>
      </c>
      <c r="P975" t="n">
        <v>0</v>
      </c>
      <c r="Q975" t="n">
        <v>2</v>
      </c>
      <c r="R975" s="2" t="inlineStr">
        <is>
          <t>Scaphisoma subalpinum
Dorcatoma dresdensis</t>
        </is>
      </c>
      <c r="S975">
        <f>HYPERLINK("https://klasma.github.io/Logging_2404/artfynd/A 38062-2023 artfynd.xlsx", "A 38062-2023")</f>
        <v/>
      </c>
      <c r="T975">
        <f>HYPERLINK("https://klasma.github.io/Logging_2404/kartor/A 38062-2023 karta.png", "A 38062-2023")</f>
        <v/>
      </c>
      <c r="V975">
        <f>HYPERLINK("https://klasma.github.io/Logging_2404/klagomål/A 38062-2023 FSC-klagomål.docx", "A 38062-2023")</f>
        <v/>
      </c>
      <c r="W975">
        <f>HYPERLINK("https://klasma.github.io/Logging_2404/klagomålsmail/A 38062-2023 FSC-klagomål mail.docx", "A 38062-2023")</f>
        <v/>
      </c>
      <c r="X975">
        <f>HYPERLINK("https://klasma.github.io/Logging_2404/tillsyn/A 38062-2023 tillsynsbegäran.docx", "A 38062-2023")</f>
        <v/>
      </c>
      <c r="Y975">
        <f>HYPERLINK("https://klasma.github.io/Logging_2404/tillsynsmail/A 38062-2023 tillsynsbegäran mail.docx", "A 38062-2023")</f>
        <v/>
      </c>
    </row>
    <row r="976" ht="15" customHeight="1">
      <c r="A976" t="inlineStr">
        <is>
          <t>A 38430-2023</t>
        </is>
      </c>
      <c r="B976" s="1" t="n">
        <v>45162</v>
      </c>
      <c r="C976" s="1" t="n">
        <v>45788</v>
      </c>
      <c r="D976" t="inlineStr">
        <is>
          <t>VÄSTERBOTTENS LÄN</t>
        </is>
      </c>
      <c r="E976" t="inlineStr">
        <is>
          <t>LYCKSELE</t>
        </is>
      </c>
      <c r="F976" t="inlineStr">
        <is>
          <t>Sveaskog</t>
        </is>
      </c>
      <c r="G976" t="n">
        <v>13.7</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38430-2023 artfynd.xlsx", "A 38430-2023")</f>
        <v/>
      </c>
      <c r="T976">
        <f>HYPERLINK("https://klasma.github.io/Logging_2481/kartor/A 38430-2023 karta.png", "A 38430-2023")</f>
        <v/>
      </c>
      <c r="V976">
        <f>HYPERLINK("https://klasma.github.io/Logging_2481/klagomål/A 38430-2023 FSC-klagomål.docx", "A 38430-2023")</f>
        <v/>
      </c>
      <c r="W976">
        <f>HYPERLINK("https://klasma.github.io/Logging_2481/klagomålsmail/A 38430-2023 FSC-klagomål mail.docx", "A 38430-2023")</f>
        <v/>
      </c>
      <c r="X976">
        <f>HYPERLINK("https://klasma.github.io/Logging_2481/tillsyn/A 38430-2023 tillsynsbegäran.docx", "A 38430-2023")</f>
        <v/>
      </c>
      <c r="Y976">
        <f>HYPERLINK("https://klasma.github.io/Logging_2481/tillsynsmail/A 38430-2023 tillsynsbegäran mail.docx", "A 38430-2023")</f>
        <v/>
      </c>
    </row>
    <row r="977" ht="15" customHeight="1">
      <c r="A977" t="inlineStr">
        <is>
          <t>A 38475-2023</t>
        </is>
      </c>
      <c r="B977" s="1" t="n">
        <v>45162</v>
      </c>
      <c r="C977" s="1" t="n">
        <v>45788</v>
      </c>
      <c r="D977" t="inlineStr">
        <is>
          <t>VÄSTERBOTTENS LÄN</t>
        </is>
      </c>
      <c r="E977" t="inlineStr">
        <is>
          <t>LYCKSELE</t>
        </is>
      </c>
      <c r="F977" t="inlineStr">
        <is>
          <t>Sveaskog</t>
        </is>
      </c>
      <c r="G977" t="n">
        <v>1.6</v>
      </c>
      <c r="H977" t="n">
        <v>0</v>
      </c>
      <c r="I977" t="n">
        <v>0</v>
      </c>
      <c r="J977" t="n">
        <v>2</v>
      </c>
      <c r="K977" t="n">
        <v>0</v>
      </c>
      <c r="L977" t="n">
        <v>0</v>
      </c>
      <c r="M977" t="n">
        <v>0</v>
      </c>
      <c r="N977" t="n">
        <v>0</v>
      </c>
      <c r="O977" t="n">
        <v>2</v>
      </c>
      <c r="P977" t="n">
        <v>0</v>
      </c>
      <c r="Q977" t="n">
        <v>2</v>
      </c>
      <c r="R977" s="2" t="inlineStr">
        <is>
          <t>Blå taggsvamp
Mörk kolflarnlav</t>
        </is>
      </c>
      <c r="S977">
        <f>HYPERLINK("https://klasma.github.io/Logging_2481/artfynd/A 38475-2023 artfynd.xlsx", "A 38475-2023")</f>
        <v/>
      </c>
      <c r="T977">
        <f>HYPERLINK("https://klasma.github.io/Logging_2481/kartor/A 38475-2023 karta.png", "A 38475-2023")</f>
        <v/>
      </c>
      <c r="V977">
        <f>HYPERLINK("https://klasma.github.io/Logging_2481/klagomål/A 38475-2023 FSC-klagomål.docx", "A 38475-2023")</f>
        <v/>
      </c>
      <c r="W977">
        <f>HYPERLINK("https://klasma.github.io/Logging_2481/klagomålsmail/A 38475-2023 FSC-klagomål mail.docx", "A 38475-2023")</f>
        <v/>
      </c>
      <c r="X977">
        <f>HYPERLINK("https://klasma.github.io/Logging_2481/tillsyn/A 38475-2023 tillsynsbegäran.docx", "A 38475-2023")</f>
        <v/>
      </c>
      <c r="Y977">
        <f>HYPERLINK("https://klasma.github.io/Logging_2481/tillsynsmail/A 38475-2023 tillsynsbegäran mail.docx", "A 38475-2023")</f>
        <v/>
      </c>
    </row>
    <row r="978" ht="15" customHeight="1">
      <c r="A978" t="inlineStr">
        <is>
          <t>A 39826-2023</t>
        </is>
      </c>
      <c r="B978" s="1" t="n">
        <v>45168</v>
      </c>
      <c r="C978" s="1" t="n">
        <v>45788</v>
      </c>
      <c r="D978" t="inlineStr">
        <is>
          <t>VÄSTERBOTTENS LÄN</t>
        </is>
      </c>
      <c r="E978" t="inlineStr">
        <is>
          <t>ROBERTSFORS</t>
        </is>
      </c>
      <c r="F978" t="inlineStr">
        <is>
          <t>Holmen skog AB</t>
        </is>
      </c>
      <c r="G978" t="n">
        <v>5.1</v>
      </c>
      <c r="H978" t="n">
        <v>2</v>
      </c>
      <c r="I978" t="n">
        <v>0</v>
      </c>
      <c r="J978" t="n">
        <v>0</v>
      </c>
      <c r="K978" t="n">
        <v>0</v>
      </c>
      <c r="L978" t="n">
        <v>0</v>
      </c>
      <c r="M978" t="n">
        <v>0</v>
      </c>
      <c r="N978" t="n">
        <v>0</v>
      </c>
      <c r="O978" t="n">
        <v>0</v>
      </c>
      <c r="P978" t="n">
        <v>0</v>
      </c>
      <c r="Q978" t="n">
        <v>2</v>
      </c>
      <c r="R978" s="2" t="inlineStr">
        <is>
          <t>Fläcknycklar
Revlummer</t>
        </is>
      </c>
      <c r="S978">
        <f>HYPERLINK("https://klasma.github.io/Logging_2409/artfynd/A 39826-2023 artfynd.xlsx", "A 39826-2023")</f>
        <v/>
      </c>
      <c r="T978">
        <f>HYPERLINK("https://klasma.github.io/Logging_2409/kartor/A 39826-2023 karta.png", "A 39826-2023")</f>
        <v/>
      </c>
      <c r="V978">
        <f>HYPERLINK("https://klasma.github.io/Logging_2409/klagomål/A 39826-2023 FSC-klagomål.docx", "A 39826-2023")</f>
        <v/>
      </c>
      <c r="W978">
        <f>HYPERLINK("https://klasma.github.io/Logging_2409/klagomålsmail/A 39826-2023 FSC-klagomål mail.docx", "A 39826-2023")</f>
        <v/>
      </c>
      <c r="X978">
        <f>HYPERLINK("https://klasma.github.io/Logging_2409/tillsyn/A 39826-2023 tillsynsbegäran.docx", "A 39826-2023")</f>
        <v/>
      </c>
      <c r="Y978">
        <f>HYPERLINK("https://klasma.github.io/Logging_2409/tillsynsmail/A 39826-2023 tillsynsbegäran mail.docx", "A 39826-2023")</f>
        <v/>
      </c>
    </row>
    <row r="979" ht="15" customHeight="1">
      <c r="A979" t="inlineStr">
        <is>
          <t>A 39979-2023</t>
        </is>
      </c>
      <c r="B979" s="1" t="n">
        <v>45168</v>
      </c>
      <c r="C979" s="1" t="n">
        <v>45788</v>
      </c>
      <c r="D979" t="inlineStr">
        <is>
          <t>VÄSTERBOTTENS LÄN</t>
        </is>
      </c>
      <c r="E979" t="inlineStr">
        <is>
          <t>UMEÅ</t>
        </is>
      </c>
      <c r="F979" t="inlineStr">
        <is>
          <t>Sveaskog</t>
        </is>
      </c>
      <c r="G979" t="n">
        <v>4</v>
      </c>
      <c r="H979" t="n">
        <v>0</v>
      </c>
      <c r="I979" t="n">
        <v>0</v>
      </c>
      <c r="J979" t="n">
        <v>2</v>
      </c>
      <c r="K979" t="n">
        <v>0</v>
      </c>
      <c r="L979" t="n">
        <v>0</v>
      </c>
      <c r="M979" t="n">
        <v>0</v>
      </c>
      <c r="N979" t="n">
        <v>0</v>
      </c>
      <c r="O979" t="n">
        <v>2</v>
      </c>
      <c r="P979" t="n">
        <v>0</v>
      </c>
      <c r="Q979" t="n">
        <v>2</v>
      </c>
      <c r="R979" s="2" t="inlineStr">
        <is>
          <t>Mörk kolflarnlav
Vedskivlav</t>
        </is>
      </c>
      <c r="S979">
        <f>HYPERLINK("https://klasma.github.io/Logging_2480/artfynd/A 39979-2023 artfynd.xlsx", "A 39979-2023")</f>
        <v/>
      </c>
      <c r="T979">
        <f>HYPERLINK("https://klasma.github.io/Logging_2480/kartor/A 39979-2023 karta.png", "A 39979-2023")</f>
        <v/>
      </c>
      <c r="V979">
        <f>HYPERLINK("https://klasma.github.io/Logging_2480/klagomål/A 39979-2023 FSC-klagomål.docx", "A 39979-2023")</f>
        <v/>
      </c>
      <c r="W979">
        <f>HYPERLINK("https://klasma.github.io/Logging_2480/klagomålsmail/A 39979-2023 FSC-klagomål mail.docx", "A 39979-2023")</f>
        <v/>
      </c>
      <c r="X979">
        <f>HYPERLINK("https://klasma.github.io/Logging_2480/tillsyn/A 39979-2023 tillsynsbegäran.docx", "A 39979-2023")</f>
        <v/>
      </c>
      <c r="Y979">
        <f>HYPERLINK("https://klasma.github.io/Logging_2480/tillsynsmail/A 39979-2023 tillsynsbegäran mail.docx", "A 39979-2023")</f>
        <v/>
      </c>
    </row>
    <row r="980" ht="15" customHeight="1">
      <c r="A980" t="inlineStr">
        <is>
          <t>A 40742-2023</t>
        </is>
      </c>
      <c r="B980" s="1" t="n">
        <v>45170</v>
      </c>
      <c r="C980" s="1" t="n">
        <v>45788</v>
      </c>
      <c r="D980" t="inlineStr">
        <is>
          <t>VÄSTERBOTTENS LÄN</t>
        </is>
      </c>
      <c r="E980" t="inlineStr">
        <is>
          <t>SKELLEFTEÅ</t>
        </is>
      </c>
      <c r="F980" t="inlineStr">
        <is>
          <t>Sveaskog</t>
        </is>
      </c>
      <c r="G980" t="n">
        <v>13.6</v>
      </c>
      <c r="H980" t="n">
        <v>0</v>
      </c>
      <c r="I980" t="n">
        <v>1</v>
      </c>
      <c r="J980" t="n">
        <v>1</v>
      </c>
      <c r="K980" t="n">
        <v>0</v>
      </c>
      <c r="L980" t="n">
        <v>0</v>
      </c>
      <c r="M980" t="n">
        <v>0</v>
      </c>
      <c r="N980" t="n">
        <v>0</v>
      </c>
      <c r="O980" t="n">
        <v>1</v>
      </c>
      <c r="P980" t="n">
        <v>0</v>
      </c>
      <c r="Q980" t="n">
        <v>2</v>
      </c>
      <c r="R980" s="2" t="inlineStr">
        <is>
          <t>Kolflarnlav
Stuplav</t>
        </is>
      </c>
      <c r="S980">
        <f>HYPERLINK("https://klasma.github.io/Logging_2482/artfynd/A 40742-2023 artfynd.xlsx", "A 40742-2023")</f>
        <v/>
      </c>
      <c r="T980">
        <f>HYPERLINK("https://klasma.github.io/Logging_2482/kartor/A 40742-2023 karta.png", "A 40742-2023")</f>
        <v/>
      </c>
      <c r="V980">
        <f>HYPERLINK("https://klasma.github.io/Logging_2482/klagomål/A 40742-2023 FSC-klagomål.docx", "A 40742-2023")</f>
        <v/>
      </c>
      <c r="W980">
        <f>HYPERLINK("https://klasma.github.io/Logging_2482/klagomålsmail/A 40742-2023 FSC-klagomål mail.docx", "A 40742-2023")</f>
        <v/>
      </c>
      <c r="X980">
        <f>HYPERLINK("https://klasma.github.io/Logging_2482/tillsyn/A 40742-2023 tillsynsbegäran.docx", "A 40742-2023")</f>
        <v/>
      </c>
      <c r="Y980">
        <f>HYPERLINK("https://klasma.github.io/Logging_2482/tillsynsmail/A 40742-2023 tillsynsbegäran mail.docx", "A 40742-2023")</f>
        <v/>
      </c>
    </row>
    <row r="981" ht="15" customHeight="1">
      <c r="A981" t="inlineStr">
        <is>
          <t>A 41449-2023</t>
        </is>
      </c>
      <c r="B981" s="1" t="n">
        <v>45175</v>
      </c>
      <c r="C981" s="1" t="n">
        <v>45788</v>
      </c>
      <c r="D981" t="inlineStr">
        <is>
          <t>VÄSTERBOTTENS LÄN</t>
        </is>
      </c>
      <c r="E981" t="inlineStr">
        <is>
          <t>LYCKSELE</t>
        </is>
      </c>
      <c r="F981" t="inlineStr">
        <is>
          <t>Sveaskog</t>
        </is>
      </c>
      <c r="G981" t="n">
        <v>4.4</v>
      </c>
      <c r="H981" t="n">
        <v>0</v>
      </c>
      <c r="I981" t="n">
        <v>1</v>
      </c>
      <c r="J981" t="n">
        <v>1</v>
      </c>
      <c r="K981" t="n">
        <v>0</v>
      </c>
      <c r="L981" t="n">
        <v>0</v>
      </c>
      <c r="M981" t="n">
        <v>0</v>
      </c>
      <c r="N981" t="n">
        <v>0</v>
      </c>
      <c r="O981" t="n">
        <v>1</v>
      </c>
      <c r="P981" t="n">
        <v>0</v>
      </c>
      <c r="Q981" t="n">
        <v>2</v>
      </c>
      <c r="R981" s="2" t="inlineStr">
        <is>
          <t>Kolflarnlav
Dropptaggsvamp</t>
        </is>
      </c>
      <c r="S981">
        <f>HYPERLINK("https://klasma.github.io/Logging_2481/artfynd/A 41449-2023 artfynd.xlsx", "A 41449-2023")</f>
        <v/>
      </c>
      <c r="T981">
        <f>HYPERLINK("https://klasma.github.io/Logging_2481/kartor/A 41449-2023 karta.png", "A 41449-2023")</f>
        <v/>
      </c>
      <c r="V981">
        <f>HYPERLINK("https://klasma.github.io/Logging_2481/klagomål/A 41449-2023 FSC-klagomål.docx", "A 41449-2023")</f>
        <v/>
      </c>
      <c r="W981">
        <f>HYPERLINK("https://klasma.github.io/Logging_2481/klagomålsmail/A 41449-2023 FSC-klagomål mail.docx", "A 41449-2023")</f>
        <v/>
      </c>
      <c r="X981">
        <f>HYPERLINK("https://klasma.github.io/Logging_2481/tillsyn/A 41449-2023 tillsynsbegäran.docx", "A 41449-2023")</f>
        <v/>
      </c>
      <c r="Y981">
        <f>HYPERLINK("https://klasma.github.io/Logging_2481/tillsynsmail/A 41449-2023 tillsynsbegäran mail.docx", "A 41449-2023")</f>
        <v/>
      </c>
    </row>
    <row r="982" ht="15" customHeight="1">
      <c r="A982" t="inlineStr">
        <is>
          <t>A 43250-2023</t>
        </is>
      </c>
      <c r="B982" s="1" t="n">
        <v>45180</v>
      </c>
      <c r="C982" s="1" t="n">
        <v>45788</v>
      </c>
      <c r="D982" t="inlineStr">
        <is>
          <t>VÄSTERBOTTENS LÄN</t>
        </is>
      </c>
      <c r="E982" t="inlineStr">
        <is>
          <t>SKELLEFTEÅ</t>
        </is>
      </c>
      <c r="G982" t="n">
        <v>3.3</v>
      </c>
      <c r="H982" t="n">
        <v>1</v>
      </c>
      <c r="I982" t="n">
        <v>0</v>
      </c>
      <c r="J982" t="n">
        <v>1</v>
      </c>
      <c r="K982" t="n">
        <v>1</v>
      </c>
      <c r="L982" t="n">
        <v>0</v>
      </c>
      <c r="M982" t="n">
        <v>0</v>
      </c>
      <c r="N982" t="n">
        <v>0</v>
      </c>
      <c r="O982" t="n">
        <v>2</v>
      </c>
      <c r="P982" t="n">
        <v>1</v>
      </c>
      <c r="Q982" t="n">
        <v>2</v>
      </c>
      <c r="R982" s="2" t="inlineStr">
        <is>
          <t>Knärot
Gammelgransskål</t>
        </is>
      </c>
      <c r="S982">
        <f>HYPERLINK("https://klasma.github.io/Logging_2482/artfynd/A 43250-2023 artfynd.xlsx", "A 43250-2023")</f>
        <v/>
      </c>
      <c r="T982">
        <f>HYPERLINK("https://klasma.github.io/Logging_2482/kartor/A 43250-2023 karta.png", "A 43250-2023")</f>
        <v/>
      </c>
      <c r="U982">
        <f>HYPERLINK("https://klasma.github.io/Logging_2482/knärot/A 43250-2023 karta knärot.png", "A 43250-2023")</f>
        <v/>
      </c>
      <c r="V982">
        <f>HYPERLINK("https://klasma.github.io/Logging_2482/klagomål/A 43250-2023 FSC-klagomål.docx", "A 43250-2023")</f>
        <v/>
      </c>
      <c r="W982">
        <f>HYPERLINK("https://klasma.github.io/Logging_2482/klagomålsmail/A 43250-2023 FSC-klagomål mail.docx", "A 43250-2023")</f>
        <v/>
      </c>
      <c r="X982">
        <f>HYPERLINK("https://klasma.github.io/Logging_2482/tillsyn/A 43250-2023 tillsynsbegäran.docx", "A 43250-2023")</f>
        <v/>
      </c>
      <c r="Y982">
        <f>HYPERLINK("https://klasma.github.io/Logging_2482/tillsynsmail/A 43250-2023 tillsynsbegäran mail.docx", "A 43250-2023")</f>
        <v/>
      </c>
    </row>
    <row r="983" ht="15" customHeight="1">
      <c r="A983" t="inlineStr">
        <is>
          <t>A 42786-2023</t>
        </is>
      </c>
      <c r="B983" s="1" t="n">
        <v>45181</v>
      </c>
      <c r="C983" s="1" t="n">
        <v>45788</v>
      </c>
      <c r="D983" t="inlineStr">
        <is>
          <t>VÄSTERBOTTENS LÄN</t>
        </is>
      </c>
      <c r="E983" t="inlineStr">
        <is>
          <t>SKELLEFTEÅ</t>
        </is>
      </c>
      <c r="G983" t="n">
        <v>9.199999999999999</v>
      </c>
      <c r="H983" t="n">
        <v>0</v>
      </c>
      <c r="I983" t="n">
        <v>0</v>
      </c>
      <c r="J983" t="n">
        <v>2</v>
      </c>
      <c r="K983" t="n">
        <v>0</v>
      </c>
      <c r="L983" t="n">
        <v>0</v>
      </c>
      <c r="M983" t="n">
        <v>0</v>
      </c>
      <c r="N983" t="n">
        <v>0</v>
      </c>
      <c r="O983" t="n">
        <v>2</v>
      </c>
      <c r="P983" t="n">
        <v>0</v>
      </c>
      <c r="Q983" t="n">
        <v>2</v>
      </c>
      <c r="R983" s="2" t="inlineStr">
        <is>
          <t>Garnlav
Kärrängsfly</t>
        </is>
      </c>
      <c r="S983">
        <f>HYPERLINK("https://klasma.github.io/Logging_2482/artfynd/A 42786-2023 artfynd.xlsx", "A 42786-2023")</f>
        <v/>
      </c>
      <c r="T983">
        <f>HYPERLINK("https://klasma.github.io/Logging_2482/kartor/A 42786-2023 karta.png", "A 42786-2023")</f>
        <v/>
      </c>
      <c r="V983">
        <f>HYPERLINK("https://klasma.github.io/Logging_2482/klagomål/A 42786-2023 FSC-klagomål.docx", "A 42786-2023")</f>
        <v/>
      </c>
      <c r="W983">
        <f>HYPERLINK("https://klasma.github.io/Logging_2482/klagomålsmail/A 42786-2023 FSC-klagomål mail.docx", "A 42786-2023")</f>
        <v/>
      </c>
      <c r="X983">
        <f>HYPERLINK("https://klasma.github.io/Logging_2482/tillsyn/A 42786-2023 tillsynsbegäran.docx", "A 42786-2023")</f>
        <v/>
      </c>
      <c r="Y983">
        <f>HYPERLINK("https://klasma.github.io/Logging_2482/tillsynsmail/A 42786-2023 tillsynsbegäran mail.docx", "A 42786-2023")</f>
        <v/>
      </c>
    </row>
    <row r="984" ht="15" customHeight="1">
      <c r="A984" t="inlineStr">
        <is>
          <t>A 43094-2023</t>
        </is>
      </c>
      <c r="B984" s="1" t="n">
        <v>45182</v>
      </c>
      <c r="C984" s="1" t="n">
        <v>45788</v>
      </c>
      <c r="D984" t="inlineStr">
        <is>
          <t>VÄSTERBOTTENS LÄN</t>
        </is>
      </c>
      <c r="E984" t="inlineStr">
        <is>
          <t>ROBERTSFORS</t>
        </is>
      </c>
      <c r="G984" t="n">
        <v>7.7</v>
      </c>
      <c r="H984" t="n">
        <v>2</v>
      </c>
      <c r="I984" t="n">
        <v>0</v>
      </c>
      <c r="J984" t="n">
        <v>2</v>
      </c>
      <c r="K984" t="n">
        <v>0</v>
      </c>
      <c r="L984" t="n">
        <v>0</v>
      </c>
      <c r="M984" t="n">
        <v>0</v>
      </c>
      <c r="N984" t="n">
        <v>0</v>
      </c>
      <c r="O984" t="n">
        <v>2</v>
      </c>
      <c r="P984" t="n">
        <v>0</v>
      </c>
      <c r="Q984" t="n">
        <v>2</v>
      </c>
      <c r="R984" s="2" t="inlineStr">
        <is>
          <t>Svartvit flugsnappare
Ärtsångare</t>
        </is>
      </c>
      <c r="S984">
        <f>HYPERLINK("https://klasma.github.io/Logging_2409/artfynd/A 43094-2023 artfynd.xlsx", "A 43094-2023")</f>
        <v/>
      </c>
      <c r="T984">
        <f>HYPERLINK("https://klasma.github.io/Logging_2409/kartor/A 43094-2023 karta.png", "A 43094-2023")</f>
        <v/>
      </c>
      <c r="V984">
        <f>HYPERLINK("https://klasma.github.io/Logging_2409/klagomål/A 43094-2023 FSC-klagomål.docx", "A 43094-2023")</f>
        <v/>
      </c>
      <c r="W984">
        <f>HYPERLINK("https://klasma.github.io/Logging_2409/klagomålsmail/A 43094-2023 FSC-klagomål mail.docx", "A 43094-2023")</f>
        <v/>
      </c>
      <c r="X984">
        <f>HYPERLINK("https://klasma.github.io/Logging_2409/tillsyn/A 43094-2023 tillsynsbegäran.docx", "A 43094-2023")</f>
        <v/>
      </c>
      <c r="Y984">
        <f>HYPERLINK("https://klasma.github.io/Logging_2409/tillsynsmail/A 43094-2023 tillsynsbegäran mail.docx", "A 43094-2023")</f>
        <v/>
      </c>
      <c r="Z984">
        <f>HYPERLINK("https://klasma.github.io/Logging_2409/fåglar/A 43094-2023 prioriterade fågelarter.docx", "A 43094-2023")</f>
        <v/>
      </c>
    </row>
    <row r="985" ht="15" customHeight="1">
      <c r="A985" t="inlineStr">
        <is>
          <t>A 45252-2023</t>
        </is>
      </c>
      <c r="B985" s="1" t="n">
        <v>45191</v>
      </c>
      <c r="C985" s="1" t="n">
        <v>45788</v>
      </c>
      <c r="D985" t="inlineStr">
        <is>
          <t>VÄSTERBOTTENS LÄN</t>
        </is>
      </c>
      <c r="E985" t="inlineStr">
        <is>
          <t>ÅSELE</t>
        </is>
      </c>
      <c r="F985" t="inlineStr">
        <is>
          <t>Sveaskog</t>
        </is>
      </c>
      <c r="G985" t="n">
        <v>22.7</v>
      </c>
      <c r="H985" t="n">
        <v>0</v>
      </c>
      <c r="I985" t="n">
        <v>0</v>
      </c>
      <c r="J985" t="n">
        <v>2</v>
      </c>
      <c r="K985" t="n">
        <v>0</v>
      </c>
      <c r="L985" t="n">
        <v>0</v>
      </c>
      <c r="M985" t="n">
        <v>0</v>
      </c>
      <c r="N985" t="n">
        <v>0</v>
      </c>
      <c r="O985" t="n">
        <v>2</v>
      </c>
      <c r="P985" t="n">
        <v>0</v>
      </c>
      <c r="Q985" t="n">
        <v>2</v>
      </c>
      <c r="R985" s="2" t="inlineStr">
        <is>
          <t>Garnlav
Gränsticka</t>
        </is>
      </c>
      <c r="S985">
        <f>HYPERLINK("https://klasma.github.io/Logging_2463/artfynd/A 45252-2023 artfynd.xlsx", "A 45252-2023")</f>
        <v/>
      </c>
      <c r="T985">
        <f>HYPERLINK("https://klasma.github.io/Logging_2463/kartor/A 45252-2023 karta.png", "A 45252-2023")</f>
        <v/>
      </c>
      <c r="V985">
        <f>HYPERLINK("https://klasma.github.io/Logging_2463/klagomål/A 45252-2023 FSC-klagomål.docx", "A 45252-2023")</f>
        <v/>
      </c>
      <c r="W985">
        <f>HYPERLINK("https://klasma.github.io/Logging_2463/klagomålsmail/A 45252-2023 FSC-klagomål mail.docx", "A 45252-2023")</f>
        <v/>
      </c>
      <c r="X985">
        <f>HYPERLINK("https://klasma.github.io/Logging_2463/tillsyn/A 45252-2023 tillsynsbegäran.docx", "A 45252-2023")</f>
        <v/>
      </c>
      <c r="Y985">
        <f>HYPERLINK("https://klasma.github.io/Logging_2463/tillsynsmail/A 45252-2023 tillsynsbegäran mail.docx", "A 45252-2023")</f>
        <v/>
      </c>
    </row>
    <row r="986" ht="15" customHeight="1">
      <c r="A986" t="inlineStr">
        <is>
          <t>A 46563-2023</t>
        </is>
      </c>
      <c r="B986" s="1" t="n">
        <v>45198</v>
      </c>
      <c r="C986" s="1" t="n">
        <v>45788</v>
      </c>
      <c r="D986" t="inlineStr">
        <is>
          <t>VÄSTERBOTTENS LÄN</t>
        </is>
      </c>
      <c r="E986" t="inlineStr">
        <is>
          <t>UMEÅ</t>
        </is>
      </c>
      <c r="F986" t="inlineStr">
        <is>
          <t>Holmen skog AB</t>
        </is>
      </c>
      <c r="G986" t="n">
        <v>4.7</v>
      </c>
      <c r="H986" t="n">
        <v>0</v>
      </c>
      <c r="I986" t="n">
        <v>1</v>
      </c>
      <c r="J986" t="n">
        <v>1</v>
      </c>
      <c r="K986" t="n">
        <v>0</v>
      </c>
      <c r="L986" t="n">
        <v>0</v>
      </c>
      <c r="M986" t="n">
        <v>0</v>
      </c>
      <c r="N986" t="n">
        <v>0</v>
      </c>
      <c r="O986" t="n">
        <v>1</v>
      </c>
      <c r="P986" t="n">
        <v>0</v>
      </c>
      <c r="Q986" t="n">
        <v>2</v>
      </c>
      <c r="R986" s="2" t="inlineStr">
        <is>
          <t>Garnlav
Dropptaggsvamp</t>
        </is>
      </c>
      <c r="S986">
        <f>HYPERLINK("https://klasma.github.io/Logging_2480/artfynd/A 46563-2023 artfynd.xlsx", "A 46563-2023")</f>
        <v/>
      </c>
      <c r="T986">
        <f>HYPERLINK("https://klasma.github.io/Logging_2480/kartor/A 46563-2023 karta.png", "A 46563-2023")</f>
        <v/>
      </c>
      <c r="V986">
        <f>HYPERLINK("https://klasma.github.io/Logging_2480/klagomål/A 46563-2023 FSC-klagomål.docx", "A 46563-2023")</f>
        <v/>
      </c>
      <c r="W986">
        <f>HYPERLINK("https://klasma.github.io/Logging_2480/klagomålsmail/A 46563-2023 FSC-klagomål mail.docx", "A 46563-2023")</f>
        <v/>
      </c>
      <c r="X986">
        <f>HYPERLINK("https://klasma.github.io/Logging_2480/tillsyn/A 46563-2023 tillsynsbegäran.docx", "A 46563-2023")</f>
        <v/>
      </c>
      <c r="Y986">
        <f>HYPERLINK("https://klasma.github.io/Logging_2480/tillsynsmail/A 46563-2023 tillsynsbegäran mail.docx", "A 46563-2023")</f>
        <v/>
      </c>
    </row>
    <row r="987" ht="15" customHeight="1">
      <c r="A987" t="inlineStr">
        <is>
          <t>A 47038-2023</t>
        </is>
      </c>
      <c r="B987" s="1" t="n">
        <v>45201</v>
      </c>
      <c r="C987" s="1" t="n">
        <v>45788</v>
      </c>
      <c r="D987" t="inlineStr">
        <is>
          <t>VÄSTERBOTTENS LÄN</t>
        </is>
      </c>
      <c r="E987" t="inlineStr">
        <is>
          <t>LYCKSELE</t>
        </is>
      </c>
      <c r="F987" t="inlineStr">
        <is>
          <t>Sveaskog</t>
        </is>
      </c>
      <c r="G987" t="n">
        <v>8.800000000000001</v>
      </c>
      <c r="H987" t="n">
        <v>0</v>
      </c>
      <c r="I987" t="n">
        <v>1</v>
      </c>
      <c r="J987" t="n">
        <v>1</v>
      </c>
      <c r="K987" t="n">
        <v>0</v>
      </c>
      <c r="L987" t="n">
        <v>0</v>
      </c>
      <c r="M987" t="n">
        <v>0</v>
      </c>
      <c r="N987" t="n">
        <v>0</v>
      </c>
      <c r="O987" t="n">
        <v>1</v>
      </c>
      <c r="P987" t="n">
        <v>0</v>
      </c>
      <c r="Q987" t="n">
        <v>2</v>
      </c>
      <c r="R987" s="2" t="inlineStr">
        <is>
          <t>Motaggsvamp
Dropptaggsvamp</t>
        </is>
      </c>
      <c r="S987">
        <f>HYPERLINK("https://klasma.github.io/Logging_2481/artfynd/A 47038-2023 artfynd.xlsx", "A 47038-2023")</f>
        <v/>
      </c>
      <c r="T987">
        <f>HYPERLINK("https://klasma.github.io/Logging_2481/kartor/A 47038-2023 karta.png", "A 47038-2023")</f>
        <v/>
      </c>
      <c r="V987">
        <f>HYPERLINK("https://klasma.github.io/Logging_2481/klagomål/A 47038-2023 FSC-klagomål.docx", "A 47038-2023")</f>
        <v/>
      </c>
      <c r="W987">
        <f>HYPERLINK("https://klasma.github.io/Logging_2481/klagomålsmail/A 47038-2023 FSC-klagomål mail.docx", "A 47038-2023")</f>
        <v/>
      </c>
      <c r="X987">
        <f>HYPERLINK("https://klasma.github.io/Logging_2481/tillsyn/A 47038-2023 tillsynsbegäran.docx", "A 47038-2023")</f>
        <v/>
      </c>
      <c r="Y987">
        <f>HYPERLINK("https://klasma.github.io/Logging_2481/tillsynsmail/A 47038-2023 tillsynsbegäran mail.docx", "A 47038-2023")</f>
        <v/>
      </c>
    </row>
    <row r="988" ht="15" customHeight="1">
      <c r="A988" t="inlineStr">
        <is>
          <t>A 47041-2023</t>
        </is>
      </c>
      <c r="B988" s="1" t="n">
        <v>45201</v>
      </c>
      <c r="C988" s="1" t="n">
        <v>45788</v>
      </c>
      <c r="D988" t="inlineStr">
        <is>
          <t>VÄSTERBOTTENS LÄN</t>
        </is>
      </c>
      <c r="E988" t="inlineStr">
        <is>
          <t>LYCKSELE</t>
        </is>
      </c>
      <c r="F988" t="inlineStr">
        <is>
          <t>Sveaskog</t>
        </is>
      </c>
      <c r="G988" t="n">
        <v>7.5</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HYPERLINK("https://klasma.github.io/Logging_2481/artfynd/A 47041-2023 artfynd.xlsx", "A 47041-2023")</f>
        <v/>
      </c>
      <c r="T988">
        <f>HYPERLINK("https://klasma.github.io/Logging_2481/kartor/A 47041-2023 karta.png", "A 47041-2023")</f>
        <v/>
      </c>
      <c r="V988">
        <f>HYPERLINK("https://klasma.github.io/Logging_2481/klagomål/A 47041-2023 FSC-klagomål.docx", "A 47041-2023")</f>
        <v/>
      </c>
      <c r="W988">
        <f>HYPERLINK("https://klasma.github.io/Logging_2481/klagomålsmail/A 47041-2023 FSC-klagomål mail.docx", "A 47041-2023")</f>
        <v/>
      </c>
      <c r="X988">
        <f>HYPERLINK("https://klasma.github.io/Logging_2481/tillsyn/A 47041-2023 tillsynsbegäran.docx", "A 47041-2023")</f>
        <v/>
      </c>
      <c r="Y988">
        <f>HYPERLINK("https://klasma.github.io/Logging_2481/tillsynsmail/A 47041-2023 tillsynsbegäran mail.docx", "A 47041-2023")</f>
        <v/>
      </c>
    </row>
    <row r="989" ht="15" customHeight="1">
      <c r="A989" t="inlineStr">
        <is>
          <t>A 48916-2023</t>
        </is>
      </c>
      <c r="B989" s="1" t="n">
        <v>45209</v>
      </c>
      <c r="C989" s="1" t="n">
        <v>45788</v>
      </c>
      <c r="D989" t="inlineStr">
        <is>
          <t>VÄSTERBOTTENS LÄN</t>
        </is>
      </c>
      <c r="E989" t="inlineStr">
        <is>
          <t>UMEÅ</t>
        </is>
      </c>
      <c r="G989" t="n">
        <v>5.4</v>
      </c>
      <c r="H989" t="n">
        <v>1</v>
      </c>
      <c r="I989" t="n">
        <v>0</v>
      </c>
      <c r="J989" t="n">
        <v>2</v>
      </c>
      <c r="K989" t="n">
        <v>0</v>
      </c>
      <c r="L989" t="n">
        <v>0</v>
      </c>
      <c r="M989" t="n">
        <v>0</v>
      </c>
      <c r="N989" t="n">
        <v>0</v>
      </c>
      <c r="O989" t="n">
        <v>2</v>
      </c>
      <c r="P989" t="n">
        <v>0</v>
      </c>
      <c r="Q989" t="n">
        <v>2</v>
      </c>
      <c r="R989" s="2" t="inlineStr">
        <is>
          <t>Garnlav
Tretåig hackspett</t>
        </is>
      </c>
      <c r="S989">
        <f>HYPERLINK("https://klasma.github.io/Logging_2480/artfynd/A 48916-2023 artfynd.xlsx", "A 48916-2023")</f>
        <v/>
      </c>
      <c r="T989">
        <f>HYPERLINK("https://klasma.github.io/Logging_2480/kartor/A 48916-2023 karta.png", "A 48916-2023")</f>
        <v/>
      </c>
      <c r="V989">
        <f>HYPERLINK("https://klasma.github.io/Logging_2480/klagomål/A 48916-2023 FSC-klagomål.docx", "A 48916-2023")</f>
        <v/>
      </c>
      <c r="W989">
        <f>HYPERLINK("https://klasma.github.io/Logging_2480/klagomålsmail/A 48916-2023 FSC-klagomål mail.docx", "A 48916-2023")</f>
        <v/>
      </c>
      <c r="X989">
        <f>HYPERLINK("https://klasma.github.io/Logging_2480/tillsyn/A 48916-2023 tillsynsbegäran.docx", "A 48916-2023")</f>
        <v/>
      </c>
      <c r="Y989">
        <f>HYPERLINK("https://klasma.github.io/Logging_2480/tillsynsmail/A 48916-2023 tillsynsbegäran mail.docx", "A 48916-2023")</f>
        <v/>
      </c>
      <c r="Z989">
        <f>HYPERLINK("https://klasma.github.io/Logging_2480/fåglar/A 48916-2023 prioriterade fågelarter.docx", "A 48916-2023")</f>
        <v/>
      </c>
    </row>
    <row r="990" ht="15" customHeight="1">
      <c r="A990" t="inlineStr">
        <is>
          <t>A 52328-2023</t>
        </is>
      </c>
      <c r="B990" s="1" t="n">
        <v>45224</v>
      </c>
      <c r="C990" s="1" t="n">
        <v>45788</v>
      </c>
      <c r="D990" t="inlineStr">
        <is>
          <t>VÄSTERBOTTENS LÄN</t>
        </is>
      </c>
      <c r="E990" t="inlineStr">
        <is>
          <t>VINDELN</t>
        </is>
      </c>
      <c r="F990" t="inlineStr">
        <is>
          <t>Sveaskog</t>
        </is>
      </c>
      <c r="G990" t="n">
        <v>6.2</v>
      </c>
      <c r="H990" t="n">
        <v>0</v>
      </c>
      <c r="I990" t="n">
        <v>1</v>
      </c>
      <c r="J990" t="n">
        <v>1</v>
      </c>
      <c r="K990" t="n">
        <v>0</v>
      </c>
      <c r="L990" t="n">
        <v>0</v>
      </c>
      <c r="M990" t="n">
        <v>0</v>
      </c>
      <c r="N990" t="n">
        <v>0</v>
      </c>
      <c r="O990" t="n">
        <v>1</v>
      </c>
      <c r="P990" t="n">
        <v>0</v>
      </c>
      <c r="Q990" t="n">
        <v>2</v>
      </c>
      <c r="R990" s="2" t="inlineStr">
        <is>
          <t>Garnlav
Vedticka</t>
        </is>
      </c>
      <c r="S990">
        <f>HYPERLINK("https://klasma.github.io/Logging_2404/artfynd/A 52328-2023 artfynd.xlsx", "A 52328-2023")</f>
        <v/>
      </c>
      <c r="T990">
        <f>HYPERLINK("https://klasma.github.io/Logging_2404/kartor/A 52328-2023 karta.png", "A 52328-2023")</f>
        <v/>
      </c>
      <c r="V990">
        <f>HYPERLINK("https://klasma.github.io/Logging_2404/klagomål/A 52328-2023 FSC-klagomål.docx", "A 52328-2023")</f>
        <v/>
      </c>
      <c r="W990">
        <f>HYPERLINK("https://klasma.github.io/Logging_2404/klagomålsmail/A 52328-2023 FSC-klagomål mail.docx", "A 52328-2023")</f>
        <v/>
      </c>
      <c r="X990">
        <f>HYPERLINK("https://klasma.github.io/Logging_2404/tillsyn/A 52328-2023 tillsynsbegäran.docx", "A 52328-2023")</f>
        <v/>
      </c>
      <c r="Y990">
        <f>HYPERLINK("https://klasma.github.io/Logging_2404/tillsynsmail/A 52328-2023 tillsynsbegäran mail.docx", "A 52328-2023")</f>
        <v/>
      </c>
    </row>
    <row r="991" ht="15" customHeight="1">
      <c r="A991" t="inlineStr">
        <is>
          <t>A 52484-2023</t>
        </is>
      </c>
      <c r="B991" s="1" t="n">
        <v>45225</v>
      </c>
      <c r="C991" s="1" t="n">
        <v>45788</v>
      </c>
      <c r="D991" t="inlineStr">
        <is>
          <t>VÄSTERBOTTENS LÄN</t>
        </is>
      </c>
      <c r="E991" t="inlineStr">
        <is>
          <t>SKELLEFTEÅ</t>
        </is>
      </c>
      <c r="G991" t="n">
        <v>2.4</v>
      </c>
      <c r="H991" t="n">
        <v>2</v>
      </c>
      <c r="I991" t="n">
        <v>0</v>
      </c>
      <c r="J991" t="n">
        <v>2</v>
      </c>
      <c r="K991" t="n">
        <v>0</v>
      </c>
      <c r="L991" t="n">
        <v>0</v>
      </c>
      <c r="M991" t="n">
        <v>0</v>
      </c>
      <c r="N991" t="n">
        <v>0</v>
      </c>
      <c r="O991" t="n">
        <v>2</v>
      </c>
      <c r="P991" t="n">
        <v>0</v>
      </c>
      <c r="Q991" t="n">
        <v>2</v>
      </c>
      <c r="R991" s="2" t="inlineStr">
        <is>
          <t>Blå kärrhök
Pilgrimsfalk</t>
        </is>
      </c>
      <c r="S991">
        <f>HYPERLINK("https://klasma.github.io/Logging_2482/artfynd/A 52484-2023 artfynd.xlsx", "A 52484-2023")</f>
        <v/>
      </c>
      <c r="T991">
        <f>HYPERLINK("https://klasma.github.io/Logging_2482/kartor/A 52484-2023 karta.png", "A 52484-2023")</f>
        <v/>
      </c>
      <c r="V991">
        <f>HYPERLINK("https://klasma.github.io/Logging_2482/klagomål/A 52484-2023 FSC-klagomål.docx", "A 52484-2023")</f>
        <v/>
      </c>
      <c r="W991">
        <f>HYPERLINK("https://klasma.github.io/Logging_2482/klagomålsmail/A 52484-2023 FSC-klagomål mail.docx", "A 52484-2023")</f>
        <v/>
      </c>
      <c r="X991">
        <f>HYPERLINK("https://klasma.github.io/Logging_2482/tillsyn/A 52484-2023 tillsynsbegäran.docx", "A 52484-2023")</f>
        <v/>
      </c>
      <c r="Y991">
        <f>HYPERLINK("https://klasma.github.io/Logging_2482/tillsynsmail/A 52484-2023 tillsynsbegäran mail.docx", "A 52484-2023")</f>
        <v/>
      </c>
      <c r="Z991">
        <f>HYPERLINK("https://klasma.github.io/Logging_2482/fåglar/A 52484-2023 prioriterade fågelarter.docx", "A 52484-2023")</f>
        <v/>
      </c>
    </row>
    <row r="992" ht="15" customHeight="1">
      <c r="A992" t="inlineStr">
        <is>
          <t>A 52738-2023</t>
        </is>
      </c>
      <c r="B992" s="1" t="n">
        <v>45225</v>
      </c>
      <c r="C992" s="1" t="n">
        <v>45788</v>
      </c>
      <c r="D992" t="inlineStr">
        <is>
          <t>VÄSTERBOTTENS LÄN</t>
        </is>
      </c>
      <c r="E992" t="inlineStr">
        <is>
          <t>DOROTEA</t>
        </is>
      </c>
      <c r="F992" t="inlineStr">
        <is>
          <t>SCA</t>
        </is>
      </c>
      <c r="G992" t="n">
        <v>8.800000000000001</v>
      </c>
      <c r="H992" t="n">
        <v>1</v>
      </c>
      <c r="I992" t="n">
        <v>1</v>
      </c>
      <c r="J992" t="n">
        <v>0</v>
      </c>
      <c r="K992" t="n">
        <v>1</v>
      </c>
      <c r="L992" t="n">
        <v>0</v>
      </c>
      <c r="M992" t="n">
        <v>0</v>
      </c>
      <c r="N992" t="n">
        <v>0</v>
      </c>
      <c r="O992" t="n">
        <v>1</v>
      </c>
      <c r="P992" t="n">
        <v>1</v>
      </c>
      <c r="Q992" t="n">
        <v>2</v>
      </c>
      <c r="R992" s="2" t="inlineStr">
        <is>
          <t>Doftticka
Trådticka</t>
        </is>
      </c>
      <c r="S992">
        <f>HYPERLINK("https://klasma.github.io/Logging_2425/artfynd/A 52738-2023 artfynd.xlsx", "A 52738-2023")</f>
        <v/>
      </c>
      <c r="T992">
        <f>HYPERLINK("https://klasma.github.io/Logging_2425/kartor/A 52738-2023 karta.png", "A 52738-2023")</f>
        <v/>
      </c>
      <c r="V992">
        <f>HYPERLINK("https://klasma.github.io/Logging_2425/klagomål/A 52738-2023 FSC-klagomål.docx", "A 52738-2023")</f>
        <v/>
      </c>
      <c r="W992">
        <f>HYPERLINK("https://klasma.github.io/Logging_2425/klagomålsmail/A 52738-2023 FSC-klagomål mail.docx", "A 52738-2023")</f>
        <v/>
      </c>
      <c r="X992">
        <f>HYPERLINK("https://klasma.github.io/Logging_2425/tillsyn/A 52738-2023 tillsynsbegäran.docx", "A 52738-2023")</f>
        <v/>
      </c>
      <c r="Y992">
        <f>HYPERLINK("https://klasma.github.io/Logging_2425/tillsynsmail/A 52738-2023 tillsynsbegäran mail.docx", "A 52738-2023")</f>
        <v/>
      </c>
    </row>
    <row r="993" ht="15" customHeight="1">
      <c r="A993" t="inlineStr">
        <is>
          <t>A 53753-2023</t>
        </is>
      </c>
      <c r="B993" s="1" t="n">
        <v>45230</v>
      </c>
      <c r="C993" s="1" t="n">
        <v>45788</v>
      </c>
      <c r="D993" t="inlineStr">
        <is>
          <t>VÄSTERBOTTENS LÄN</t>
        </is>
      </c>
      <c r="E993" t="inlineStr">
        <is>
          <t>DOROTEA</t>
        </is>
      </c>
      <c r="G993" t="n">
        <v>19.6</v>
      </c>
      <c r="H993" t="n">
        <v>1</v>
      </c>
      <c r="I993" t="n">
        <v>1</v>
      </c>
      <c r="J993" t="n">
        <v>0</v>
      </c>
      <c r="K993" t="n">
        <v>0</v>
      </c>
      <c r="L993" t="n">
        <v>0</v>
      </c>
      <c r="M993" t="n">
        <v>0</v>
      </c>
      <c r="N993" t="n">
        <v>0</v>
      </c>
      <c r="O993" t="n">
        <v>0</v>
      </c>
      <c r="P993" t="n">
        <v>0</v>
      </c>
      <c r="Q993" t="n">
        <v>2</v>
      </c>
      <c r="R993" s="2" t="inlineStr">
        <is>
          <t>Tibast
Skogsrör</t>
        </is>
      </c>
      <c r="S993">
        <f>HYPERLINK("https://klasma.github.io/Logging_2425/artfynd/A 53753-2023 artfynd.xlsx", "A 53753-2023")</f>
        <v/>
      </c>
      <c r="T993">
        <f>HYPERLINK("https://klasma.github.io/Logging_2425/kartor/A 53753-2023 karta.png", "A 53753-2023")</f>
        <v/>
      </c>
      <c r="V993">
        <f>HYPERLINK("https://klasma.github.io/Logging_2425/klagomål/A 53753-2023 FSC-klagomål.docx", "A 53753-2023")</f>
        <v/>
      </c>
      <c r="W993">
        <f>HYPERLINK("https://klasma.github.io/Logging_2425/klagomålsmail/A 53753-2023 FSC-klagomål mail.docx", "A 53753-2023")</f>
        <v/>
      </c>
      <c r="X993">
        <f>HYPERLINK("https://klasma.github.io/Logging_2425/tillsyn/A 53753-2023 tillsynsbegäran.docx", "A 53753-2023")</f>
        <v/>
      </c>
      <c r="Y993">
        <f>HYPERLINK("https://klasma.github.io/Logging_2425/tillsynsmail/A 53753-2023 tillsynsbegäran mail.docx", "A 53753-2023")</f>
        <v/>
      </c>
    </row>
    <row r="994" ht="15" customHeight="1">
      <c r="A994" t="inlineStr">
        <is>
          <t>A 53809-2023</t>
        </is>
      </c>
      <c r="B994" s="1" t="n">
        <v>45231</v>
      </c>
      <c r="C994" s="1" t="n">
        <v>45788</v>
      </c>
      <c r="D994" t="inlineStr">
        <is>
          <t>VÄSTERBOTTENS LÄN</t>
        </is>
      </c>
      <c r="E994" t="inlineStr">
        <is>
          <t>LYCKSELE</t>
        </is>
      </c>
      <c r="F994" t="inlineStr">
        <is>
          <t>Sveaskog</t>
        </is>
      </c>
      <c r="G994" t="n">
        <v>25.1</v>
      </c>
      <c r="H994" t="n">
        <v>0</v>
      </c>
      <c r="I994" t="n">
        <v>1</v>
      </c>
      <c r="J994" t="n">
        <v>1</v>
      </c>
      <c r="K994" t="n">
        <v>0</v>
      </c>
      <c r="L994" t="n">
        <v>0</v>
      </c>
      <c r="M994" t="n">
        <v>0</v>
      </c>
      <c r="N994" t="n">
        <v>0</v>
      </c>
      <c r="O994" t="n">
        <v>1</v>
      </c>
      <c r="P994" t="n">
        <v>0</v>
      </c>
      <c r="Q994" t="n">
        <v>2</v>
      </c>
      <c r="R994" s="2" t="inlineStr">
        <is>
          <t>Skrovlig taggsvamp
Stuplav</t>
        </is>
      </c>
      <c r="S994">
        <f>HYPERLINK("https://klasma.github.io/Logging_2481/artfynd/A 53809-2023 artfynd.xlsx", "A 53809-2023")</f>
        <v/>
      </c>
      <c r="T994">
        <f>HYPERLINK("https://klasma.github.io/Logging_2481/kartor/A 53809-2023 karta.png", "A 53809-2023")</f>
        <v/>
      </c>
      <c r="V994">
        <f>HYPERLINK("https://klasma.github.io/Logging_2481/klagomål/A 53809-2023 FSC-klagomål.docx", "A 53809-2023")</f>
        <v/>
      </c>
      <c r="W994">
        <f>HYPERLINK("https://klasma.github.io/Logging_2481/klagomålsmail/A 53809-2023 FSC-klagomål mail.docx", "A 53809-2023")</f>
        <v/>
      </c>
      <c r="X994">
        <f>HYPERLINK("https://klasma.github.io/Logging_2481/tillsyn/A 53809-2023 tillsynsbegäran.docx", "A 53809-2023")</f>
        <v/>
      </c>
      <c r="Y994">
        <f>HYPERLINK("https://klasma.github.io/Logging_2481/tillsynsmail/A 53809-2023 tillsynsbegäran mail.docx", "A 53809-2023")</f>
        <v/>
      </c>
    </row>
    <row r="995" ht="15" customHeight="1">
      <c r="A995" t="inlineStr">
        <is>
          <t>A 55632-2023</t>
        </is>
      </c>
      <c r="B995" s="1" t="n">
        <v>45238</v>
      </c>
      <c r="C995" s="1" t="n">
        <v>45788</v>
      </c>
      <c r="D995" t="inlineStr">
        <is>
          <t>VÄSTERBOTTENS LÄN</t>
        </is>
      </c>
      <c r="E995" t="inlineStr">
        <is>
          <t>NORDMALING</t>
        </is>
      </c>
      <c r="G995" t="n">
        <v>1</v>
      </c>
      <c r="H995" t="n">
        <v>0</v>
      </c>
      <c r="I995" t="n">
        <v>1</v>
      </c>
      <c r="J995" t="n">
        <v>1</v>
      </c>
      <c r="K995" t="n">
        <v>0</v>
      </c>
      <c r="L995" t="n">
        <v>0</v>
      </c>
      <c r="M995" t="n">
        <v>0</v>
      </c>
      <c r="N995" t="n">
        <v>0</v>
      </c>
      <c r="O995" t="n">
        <v>1</v>
      </c>
      <c r="P995" t="n">
        <v>0</v>
      </c>
      <c r="Q995" t="n">
        <v>2</v>
      </c>
      <c r="R995" s="2" t="inlineStr">
        <is>
          <t>Garnlav
Skinnlav</t>
        </is>
      </c>
      <c r="S995">
        <f>HYPERLINK("https://klasma.github.io/Logging_2401/artfynd/A 55632-2023 artfynd.xlsx", "A 55632-2023")</f>
        <v/>
      </c>
      <c r="T995">
        <f>HYPERLINK("https://klasma.github.io/Logging_2401/kartor/A 55632-2023 karta.png", "A 55632-2023")</f>
        <v/>
      </c>
      <c r="V995">
        <f>HYPERLINK("https://klasma.github.io/Logging_2401/klagomål/A 55632-2023 FSC-klagomål.docx", "A 55632-2023")</f>
        <v/>
      </c>
      <c r="W995">
        <f>HYPERLINK("https://klasma.github.io/Logging_2401/klagomålsmail/A 55632-2023 FSC-klagomål mail.docx", "A 55632-2023")</f>
        <v/>
      </c>
      <c r="X995">
        <f>HYPERLINK("https://klasma.github.io/Logging_2401/tillsyn/A 55632-2023 tillsynsbegäran.docx", "A 55632-2023")</f>
        <v/>
      </c>
      <c r="Y995">
        <f>HYPERLINK("https://klasma.github.io/Logging_2401/tillsynsmail/A 55632-2023 tillsynsbegäran mail.docx", "A 55632-2023")</f>
        <v/>
      </c>
    </row>
    <row r="996" ht="15" customHeight="1">
      <c r="A996" t="inlineStr">
        <is>
          <t>A 57674-2023</t>
        </is>
      </c>
      <c r="B996" s="1" t="n">
        <v>45246</v>
      </c>
      <c r="C996" s="1" t="n">
        <v>45788</v>
      </c>
      <c r="D996" t="inlineStr">
        <is>
          <t>VÄSTERBOTTENS LÄN</t>
        </is>
      </c>
      <c r="E996" t="inlineStr">
        <is>
          <t>ROBERTSFORS</t>
        </is>
      </c>
      <c r="F996" t="inlineStr">
        <is>
          <t>Sveaskog</t>
        </is>
      </c>
      <c r="G996" t="n">
        <v>2.2</v>
      </c>
      <c r="H996" t="n">
        <v>0</v>
      </c>
      <c r="I996" t="n">
        <v>1</v>
      </c>
      <c r="J996" t="n">
        <v>1</v>
      </c>
      <c r="K996" t="n">
        <v>0</v>
      </c>
      <c r="L996" t="n">
        <v>0</v>
      </c>
      <c r="M996" t="n">
        <v>0</v>
      </c>
      <c r="N996" t="n">
        <v>0</v>
      </c>
      <c r="O996" t="n">
        <v>1</v>
      </c>
      <c r="P996" t="n">
        <v>0</v>
      </c>
      <c r="Q996" t="n">
        <v>2</v>
      </c>
      <c r="R996" s="2" t="inlineStr">
        <is>
          <t>Motaggsvamp
Dropptaggsvamp</t>
        </is>
      </c>
      <c r="S996">
        <f>HYPERLINK("https://klasma.github.io/Logging_2409/artfynd/A 57674-2023 artfynd.xlsx", "A 57674-2023")</f>
        <v/>
      </c>
      <c r="T996">
        <f>HYPERLINK("https://klasma.github.io/Logging_2409/kartor/A 57674-2023 karta.png", "A 57674-2023")</f>
        <v/>
      </c>
      <c r="V996">
        <f>HYPERLINK("https://klasma.github.io/Logging_2409/klagomål/A 57674-2023 FSC-klagomål.docx", "A 57674-2023")</f>
        <v/>
      </c>
      <c r="W996">
        <f>HYPERLINK("https://klasma.github.io/Logging_2409/klagomålsmail/A 57674-2023 FSC-klagomål mail.docx", "A 57674-2023")</f>
        <v/>
      </c>
      <c r="X996">
        <f>HYPERLINK("https://klasma.github.io/Logging_2409/tillsyn/A 57674-2023 tillsynsbegäran.docx", "A 57674-2023")</f>
        <v/>
      </c>
      <c r="Y996">
        <f>HYPERLINK("https://klasma.github.io/Logging_2409/tillsynsmail/A 57674-2023 tillsynsbegäran mail.docx", "A 57674-2023")</f>
        <v/>
      </c>
    </row>
    <row r="997" ht="15" customHeight="1">
      <c r="A997" t="inlineStr">
        <is>
          <t>A 62191-2023</t>
        </is>
      </c>
      <c r="B997" s="1" t="n">
        <v>45267</v>
      </c>
      <c r="C997" s="1" t="n">
        <v>45788</v>
      </c>
      <c r="D997" t="inlineStr">
        <is>
          <t>VÄSTERBOTTENS LÄN</t>
        </is>
      </c>
      <c r="E997" t="inlineStr">
        <is>
          <t>SKELLEFTEÅ</t>
        </is>
      </c>
      <c r="G997" t="n">
        <v>14.5</v>
      </c>
      <c r="H997" t="n">
        <v>1</v>
      </c>
      <c r="I997" t="n">
        <v>0</v>
      </c>
      <c r="J997" t="n">
        <v>1</v>
      </c>
      <c r="K997" t="n">
        <v>1</v>
      </c>
      <c r="L997" t="n">
        <v>0</v>
      </c>
      <c r="M997" t="n">
        <v>0</v>
      </c>
      <c r="N997" t="n">
        <v>0</v>
      </c>
      <c r="O997" t="n">
        <v>2</v>
      </c>
      <c r="P997" t="n">
        <v>1</v>
      </c>
      <c r="Q997" t="n">
        <v>2</v>
      </c>
      <c r="R997" s="2" t="inlineStr">
        <is>
          <t>Knärot
Lunglav</t>
        </is>
      </c>
      <c r="S997">
        <f>HYPERLINK("https://klasma.github.io/Logging_2482/artfynd/A 62191-2023 artfynd.xlsx", "A 62191-2023")</f>
        <v/>
      </c>
      <c r="T997">
        <f>HYPERLINK("https://klasma.github.io/Logging_2482/kartor/A 62191-2023 karta.png", "A 62191-2023")</f>
        <v/>
      </c>
      <c r="U997">
        <f>HYPERLINK("https://klasma.github.io/Logging_2482/knärot/A 62191-2023 karta knärot.png", "A 62191-2023")</f>
        <v/>
      </c>
      <c r="V997">
        <f>HYPERLINK("https://klasma.github.io/Logging_2482/klagomål/A 62191-2023 FSC-klagomål.docx", "A 62191-2023")</f>
        <v/>
      </c>
      <c r="W997">
        <f>HYPERLINK("https://klasma.github.io/Logging_2482/klagomålsmail/A 62191-2023 FSC-klagomål mail.docx", "A 62191-2023")</f>
        <v/>
      </c>
      <c r="X997">
        <f>HYPERLINK("https://klasma.github.io/Logging_2482/tillsyn/A 62191-2023 tillsynsbegäran.docx", "A 62191-2023")</f>
        <v/>
      </c>
      <c r="Y997">
        <f>HYPERLINK("https://klasma.github.io/Logging_2482/tillsynsmail/A 62191-2023 tillsynsbegäran mail.docx", "A 62191-2023")</f>
        <v/>
      </c>
    </row>
    <row r="998" ht="15" customHeight="1">
      <c r="A998" t="inlineStr">
        <is>
          <t>A 64030-2023</t>
        </is>
      </c>
      <c r="B998" s="1" t="n">
        <v>45278</v>
      </c>
      <c r="C998" s="1" t="n">
        <v>45788</v>
      </c>
      <c r="D998" t="inlineStr">
        <is>
          <t>VÄSTERBOTTENS LÄN</t>
        </is>
      </c>
      <c r="E998" t="inlineStr">
        <is>
          <t>VILHELMINA</t>
        </is>
      </c>
      <c r="F998" t="inlineStr">
        <is>
          <t>SCA</t>
        </is>
      </c>
      <c r="G998" t="n">
        <v>1.7</v>
      </c>
      <c r="H998" t="n">
        <v>1</v>
      </c>
      <c r="I998" t="n">
        <v>0</v>
      </c>
      <c r="J998" t="n">
        <v>2</v>
      </c>
      <c r="K998" t="n">
        <v>0</v>
      </c>
      <c r="L998" t="n">
        <v>0</v>
      </c>
      <c r="M998" t="n">
        <v>0</v>
      </c>
      <c r="N998" t="n">
        <v>0</v>
      </c>
      <c r="O998" t="n">
        <v>2</v>
      </c>
      <c r="P998" t="n">
        <v>0</v>
      </c>
      <c r="Q998" t="n">
        <v>2</v>
      </c>
      <c r="R998" s="2" t="inlineStr">
        <is>
          <t>Tretåig hackspett
Ullticka</t>
        </is>
      </c>
      <c r="S998">
        <f>HYPERLINK("https://klasma.github.io/Logging_2462/artfynd/A 64030-2023 artfynd.xlsx", "A 64030-2023")</f>
        <v/>
      </c>
      <c r="T998">
        <f>HYPERLINK("https://klasma.github.io/Logging_2462/kartor/A 64030-2023 karta.png", "A 64030-2023")</f>
        <v/>
      </c>
      <c r="V998">
        <f>HYPERLINK("https://klasma.github.io/Logging_2462/klagomål/A 64030-2023 FSC-klagomål.docx", "A 64030-2023")</f>
        <v/>
      </c>
      <c r="W998">
        <f>HYPERLINK("https://klasma.github.io/Logging_2462/klagomålsmail/A 64030-2023 FSC-klagomål mail.docx", "A 64030-2023")</f>
        <v/>
      </c>
      <c r="X998">
        <f>HYPERLINK("https://klasma.github.io/Logging_2462/tillsyn/A 64030-2023 tillsynsbegäran.docx", "A 64030-2023")</f>
        <v/>
      </c>
      <c r="Y998">
        <f>HYPERLINK("https://klasma.github.io/Logging_2462/tillsynsmail/A 64030-2023 tillsynsbegäran mail.docx", "A 64030-2023")</f>
        <v/>
      </c>
      <c r="Z998">
        <f>HYPERLINK("https://klasma.github.io/Logging_2462/fåglar/A 64030-2023 prioriterade fågelarter.docx", "A 64030-2023")</f>
        <v/>
      </c>
    </row>
    <row r="999" ht="15" customHeight="1">
      <c r="A999" t="inlineStr">
        <is>
          <t>A 65043-2023</t>
        </is>
      </c>
      <c r="B999" s="1" t="n">
        <v>45283</v>
      </c>
      <c r="C999" s="1" t="n">
        <v>45788</v>
      </c>
      <c r="D999" t="inlineStr">
        <is>
          <t>VÄSTERBOTTENS LÄN</t>
        </is>
      </c>
      <c r="E999" t="inlineStr">
        <is>
          <t>NORDMALING</t>
        </is>
      </c>
      <c r="F999" t="inlineStr">
        <is>
          <t>Kommuner</t>
        </is>
      </c>
      <c r="G999" t="n">
        <v>9.1</v>
      </c>
      <c r="H999" t="n">
        <v>2</v>
      </c>
      <c r="I999" t="n">
        <v>0</v>
      </c>
      <c r="J999" t="n">
        <v>2</v>
      </c>
      <c r="K999" t="n">
        <v>0</v>
      </c>
      <c r="L999" t="n">
        <v>0</v>
      </c>
      <c r="M999" t="n">
        <v>0</v>
      </c>
      <c r="N999" t="n">
        <v>0</v>
      </c>
      <c r="O999" t="n">
        <v>2</v>
      </c>
      <c r="P999" t="n">
        <v>0</v>
      </c>
      <c r="Q999" t="n">
        <v>2</v>
      </c>
      <c r="R999" s="2" t="inlineStr">
        <is>
          <t>Grönsångare
Mindre hackspett</t>
        </is>
      </c>
      <c r="S999">
        <f>HYPERLINK("https://klasma.github.io/Logging_2401/artfynd/A 65043-2023 artfynd.xlsx", "A 65043-2023")</f>
        <v/>
      </c>
      <c r="T999">
        <f>HYPERLINK("https://klasma.github.io/Logging_2401/kartor/A 65043-2023 karta.png", "A 65043-2023")</f>
        <v/>
      </c>
      <c r="V999">
        <f>HYPERLINK("https://klasma.github.io/Logging_2401/klagomål/A 65043-2023 FSC-klagomål.docx", "A 65043-2023")</f>
        <v/>
      </c>
      <c r="W999">
        <f>HYPERLINK("https://klasma.github.io/Logging_2401/klagomålsmail/A 65043-2023 FSC-klagomål mail.docx", "A 65043-2023")</f>
        <v/>
      </c>
      <c r="X999">
        <f>HYPERLINK("https://klasma.github.io/Logging_2401/tillsyn/A 65043-2023 tillsynsbegäran.docx", "A 65043-2023")</f>
        <v/>
      </c>
      <c r="Y999">
        <f>HYPERLINK("https://klasma.github.io/Logging_2401/tillsynsmail/A 65043-2023 tillsynsbegäran mail.docx", "A 65043-2023")</f>
        <v/>
      </c>
      <c r="Z999">
        <f>HYPERLINK("https://klasma.github.io/Logging_2401/fåglar/A 65043-2023 prioriterade fågelarter.docx", "A 65043-2023")</f>
        <v/>
      </c>
    </row>
    <row r="1000" ht="15" customHeight="1">
      <c r="A1000" t="inlineStr">
        <is>
          <t>A 65013-2023</t>
        </is>
      </c>
      <c r="B1000" s="1" t="n">
        <v>45287</v>
      </c>
      <c r="C1000" s="1" t="n">
        <v>45788</v>
      </c>
      <c r="D1000" t="inlineStr">
        <is>
          <t>VÄSTERBOTTENS LÄN</t>
        </is>
      </c>
      <c r="E1000" t="inlineStr">
        <is>
          <t>SKELLEFTEÅ</t>
        </is>
      </c>
      <c r="G1000" t="n">
        <v>7.7</v>
      </c>
      <c r="H1000" t="n">
        <v>0</v>
      </c>
      <c r="I1000" t="n">
        <v>0</v>
      </c>
      <c r="J1000" t="n">
        <v>1</v>
      </c>
      <c r="K1000" t="n">
        <v>1</v>
      </c>
      <c r="L1000" t="n">
        <v>0</v>
      </c>
      <c r="M1000" t="n">
        <v>0</v>
      </c>
      <c r="N1000" t="n">
        <v>0</v>
      </c>
      <c r="O1000" t="n">
        <v>2</v>
      </c>
      <c r="P1000" t="n">
        <v>1</v>
      </c>
      <c r="Q1000" t="n">
        <v>2</v>
      </c>
      <c r="R1000" s="2" t="inlineStr">
        <is>
          <t>Smalfotad taggsvamp
Svartvit taggsvamp</t>
        </is>
      </c>
      <c r="S1000">
        <f>HYPERLINK("https://klasma.github.io/Logging_2482/artfynd/A 65013-2023 artfynd.xlsx", "A 65013-2023")</f>
        <v/>
      </c>
      <c r="T1000">
        <f>HYPERLINK("https://klasma.github.io/Logging_2482/kartor/A 65013-2023 karta.png", "A 65013-2023")</f>
        <v/>
      </c>
      <c r="V1000">
        <f>HYPERLINK("https://klasma.github.io/Logging_2482/klagomål/A 65013-2023 FSC-klagomål.docx", "A 65013-2023")</f>
        <v/>
      </c>
      <c r="W1000">
        <f>HYPERLINK("https://klasma.github.io/Logging_2482/klagomålsmail/A 65013-2023 FSC-klagomål mail.docx", "A 65013-2023")</f>
        <v/>
      </c>
      <c r="X1000">
        <f>HYPERLINK("https://klasma.github.io/Logging_2482/tillsyn/A 65013-2023 tillsynsbegäran.docx", "A 65013-2023")</f>
        <v/>
      </c>
      <c r="Y1000">
        <f>HYPERLINK("https://klasma.github.io/Logging_2482/tillsynsmail/A 65013-2023 tillsynsbegäran mail.docx", "A 65013-2023")</f>
        <v/>
      </c>
    </row>
    <row r="1001" ht="15" customHeight="1">
      <c r="A1001" t="inlineStr">
        <is>
          <t>A 65100-2023</t>
        </is>
      </c>
      <c r="B1001" s="1" t="n">
        <v>45287</v>
      </c>
      <c r="C1001" s="1" t="n">
        <v>45788</v>
      </c>
      <c r="D1001" t="inlineStr">
        <is>
          <t>VÄSTERBOTTENS LÄN</t>
        </is>
      </c>
      <c r="E1001" t="inlineStr">
        <is>
          <t>NORDMALING</t>
        </is>
      </c>
      <c r="G1001" t="n">
        <v>16.5</v>
      </c>
      <c r="H1001" t="n">
        <v>0</v>
      </c>
      <c r="I1001" t="n">
        <v>1</v>
      </c>
      <c r="J1001" t="n">
        <v>1</v>
      </c>
      <c r="K1001" t="n">
        <v>0</v>
      </c>
      <c r="L1001" t="n">
        <v>0</v>
      </c>
      <c r="M1001" t="n">
        <v>0</v>
      </c>
      <c r="N1001" t="n">
        <v>0</v>
      </c>
      <c r="O1001" t="n">
        <v>1</v>
      </c>
      <c r="P1001" t="n">
        <v>0</v>
      </c>
      <c r="Q1001" t="n">
        <v>2</v>
      </c>
      <c r="R1001" s="2" t="inlineStr">
        <is>
          <t>Garnlav
Stuplav</t>
        </is>
      </c>
      <c r="S1001">
        <f>HYPERLINK("https://klasma.github.io/Logging_2401/artfynd/A 65100-2023 artfynd.xlsx", "A 65100-2023")</f>
        <v/>
      </c>
      <c r="T1001">
        <f>HYPERLINK("https://klasma.github.io/Logging_2401/kartor/A 65100-2023 karta.png", "A 65100-2023")</f>
        <v/>
      </c>
      <c r="V1001">
        <f>HYPERLINK("https://klasma.github.io/Logging_2401/klagomål/A 65100-2023 FSC-klagomål.docx", "A 65100-2023")</f>
        <v/>
      </c>
      <c r="W1001">
        <f>HYPERLINK("https://klasma.github.io/Logging_2401/klagomålsmail/A 65100-2023 FSC-klagomål mail.docx", "A 65100-2023")</f>
        <v/>
      </c>
      <c r="X1001">
        <f>HYPERLINK("https://klasma.github.io/Logging_2401/tillsyn/A 65100-2023 tillsynsbegäran.docx", "A 65100-2023")</f>
        <v/>
      </c>
      <c r="Y1001">
        <f>HYPERLINK("https://klasma.github.io/Logging_2401/tillsynsmail/A 65100-2023 tillsynsbegäran mail.docx", "A 65100-2023")</f>
        <v/>
      </c>
    </row>
    <row r="1002" ht="15" customHeight="1">
      <c r="A1002" t="inlineStr">
        <is>
          <t>A 1259-2024</t>
        </is>
      </c>
      <c r="B1002" s="1" t="n">
        <v>45302</v>
      </c>
      <c r="C1002" s="1" t="n">
        <v>45788</v>
      </c>
      <c r="D1002" t="inlineStr">
        <is>
          <t>VÄSTERBOTTENS LÄN</t>
        </is>
      </c>
      <c r="E1002" t="inlineStr">
        <is>
          <t>SKELLEFTEÅ</t>
        </is>
      </c>
      <c r="G1002" t="n">
        <v>1.6</v>
      </c>
      <c r="H1002" t="n">
        <v>0</v>
      </c>
      <c r="I1002" t="n">
        <v>0</v>
      </c>
      <c r="J1002" t="n">
        <v>2</v>
      </c>
      <c r="K1002" t="n">
        <v>0</v>
      </c>
      <c r="L1002" t="n">
        <v>0</v>
      </c>
      <c r="M1002" t="n">
        <v>0</v>
      </c>
      <c r="N1002" t="n">
        <v>0</v>
      </c>
      <c r="O1002" t="n">
        <v>2</v>
      </c>
      <c r="P1002" t="n">
        <v>0</v>
      </c>
      <c r="Q1002" t="n">
        <v>2</v>
      </c>
      <c r="R1002" s="2" t="inlineStr">
        <is>
          <t>Månlåsbräken
Nordlåsbräken</t>
        </is>
      </c>
      <c r="S1002">
        <f>HYPERLINK("https://klasma.github.io/Logging_2482/artfynd/A 1259-2024 artfynd.xlsx", "A 1259-2024")</f>
        <v/>
      </c>
      <c r="T1002">
        <f>HYPERLINK("https://klasma.github.io/Logging_2482/kartor/A 1259-2024 karta.png", "A 1259-2024")</f>
        <v/>
      </c>
      <c r="V1002">
        <f>HYPERLINK("https://klasma.github.io/Logging_2482/klagomål/A 1259-2024 FSC-klagomål.docx", "A 1259-2024")</f>
        <v/>
      </c>
      <c r="W1002">
        <f>HYPERLINK("https://klasma.github.io/Logging_2482/klagomålsmail/A 1259-2024 FSC-klagomål mail.docx", "A 1259-2024")</f>
        <v/>
      </c>
      <c r="X1002">
        <f>HYPERLINK("https://klasma.github.io/Logging_2482/tillsyn/A 1259-2024 tillsynsbegäran.docx", "A 1259-2024")</f>
        <v/>
      </c>
      <c r="Y1002">
        <f>HYPERLINK("https://klasma.github.io/Logging_2482/tillsynsmail/A 1259-2024 tillsynsbegäran mail.docx", "A 1259-2024")</f>
        <v/>
      </c>
    </row>
    <row r="1003" ht="15" customHeight="1">
      <c r="A1003" t="inlineStr">
        <is>
          <t>A 1278-2024</t>
        </is>
      </c>
      <c r="B1003" s="1" t="n">
        <v>45302</v>
      </c>
      <c r="C1003" s="1" t="n">
        <v>45788</v>
      </c>
      <c r="D1003" t="inlineStr">
        <is>
          <t>VÄSTERBOTTENS LÄN</t>
        </is>
      </c>
      <c r="E1003" t="inlineStr">
        <is>
          <t>DOROTEA</t>
        </is>
      </c>
      <c r="F1003" t="inlineStr">
        <is>
          <t>SCA</t>
        </is>
      </c>
      <c r="G1003" t="n">
        <v>1.3</v>
      </c>
      <c r="H1003" t="n">
        <v>0</v>
      </c>
      <c r="I1003" t="n">
        <v>0</v>
      </c>
      <c r="J1003" t="n">
        <v>1</v>
      </c>
      <c r="K1003" t="n">
        <v>1</v>
      </c>
      <c r="L1003" t="n">
        <v>0</v>
      </c>
      <c r="M1003" t="n">
        <v>0</v>
      </c>
      <c r="N1003" t="n">
        <v>0</v>
      </c>
      <c r="O1003" t="n">
        <v>2</v>
      </c>
      <c r="P1003" t="n">
        <v>1</v>
      </c>
      <c r="Q1003" t="n">
        <v>2</v>
      </c>
      <c r="R1003" s="2" t="inlineStr">
        <is>
          <t>Gräddticka
Granticka</t>
        </is>
      </c>
      <c r="S1003">
        <f>HYPERLINK("https://klasma.github.io/Logging_2425/artfynd/A 1278-2024 artfynd.xlsx", "A 1278-2024")</f>
        <v/>
      </c>
      <c r="T1003">
        <f>HYPERLINK("https://klasma.github.io/Logging_2425/kartor/A 1278-2024 karta.png", "A 1278-2024")</f>
        <v/>
      </c>
      <c r="V1003">
        <f>HYPERLINK("https://klasma.github.io/Logging_2425/klagomål/A 1278-2024 FSC-klagomål.docx", "A 1278-2024")</f>
        <v/>
      </c>
      <c r="W1003">
        <f>HYPERLINK("https://klasma.github.io/Logging_2425/klagomålsmail/A 1278-2024 FSC-klagomål mail.docx", "A 1278-2024")</f>
        <v/>
      </c>
      <c r="X1003">
        <f>HYPERLINK("https://klasma.github.io/Logging_2425/tillsyn/A 1278-2024 tillsynsbegäran.docx", "A 1278-2024")</f>
        <v/>
      </c>
      <c r="Y1003">
        <f>HYPERLINK("https://klasma.github.io/Logging_2425/tillsynsmail/A 1278-2024 tillsynsbegäran mail.docx", "A 1278-2024")</f>
        <v/>
      </c>
    </row>
    <row r="1004" ht="15" customHeight="1">
      <c r="A1004" t="inlineStr">
        <is>
          <t>A 2056-2024</t>
        </is>
      </c>
      <c r="B1004" s="1" t="n">
        <v>45308</v>
      </c>
      <c r="C1004" s="1" t="n">
        <v>45788</v>
      </c>
      <c r="D1004" t="inlineStr">
        <is>
          <t>VÄSTERBOTTENS LÄN</t>
        </is>
      </c>
      <c r="E1004" t="inlineStr">
        <is>
          <t>SKELLEFTEÅ</t>
        </is>
      </c>
      <c r="G1004" t="n">
        <v>1.6</v>
      </c>
      <c r="H1004" t="n">
        <v>1</v>
      </c>
      <c r="I1004" t="n">
        <v>0</v>
      </c>
      <c r="J1004" t="n">
        <v>2</v>
      </c>
      <c r="K1004" t="n">
        <v>0</v>
      </c>
      <c r="L1004" t="n">
        <v>0</v>
      </c>
      <c r="M1004" t="n">
        <v>0</v>
      </c>
      <c r="N1004" t="n">
        <v>0</v>
      </c>
      <c r="O1004" t="n">
        <v>2</v>
      </c>
      <c r="P1004" t="n">
        <v>0</v>
      </c>
      <c r="Q1004" t="n">
        <v>2</v>
      </c>
      <c r="R1004" s="2" t="inlineStr">
        <is>
          <t>Järpe
Talltaggsvamp</t>
        </is>
      </c>
      <c r="S1004">
        <f>HYPERLINK("https://klasma.github.io/Logging_2482/artfynd/A 2056-2024 artfynd.xlsx", "A 2056-2024")</f>
        <v/>
      </c>
      <c r="T1004">
        <f>HYPERLINK("https://klasma.github.io/Logging_2482/kartor/A 2056-2024 karta.png", "A 2056-2024")</f>
        <v/>
      </c>
      <c r="V1004">
        <f>HYPERLINK("https://klasma.github.io/Logging_2482/klagomål/A 2056-2024 FSC-klagomål.docx", "A 2056-2024")</f>
        <v/>
      </c>
      <c r="W1004">
        <f>HYPERLINK("https://klasma.github.io/Logging_2482/klagomålsmail/A 2056-2024 FSC-klagomål mail.docx", "A 2056-2024")</f>
        <v/>
      </c>
      <c r="X1004">
        <f>HYPERLINK("https://klasma.github.io/Logging_2482/tillsyn/A 2056-2024 tillsynsbegäran.docx", "A 2056-2024")</f>
        <v/>
      </c>
      <c r="Y1004">
        <f>HYPERLINK("https://klasma.github.io/Logging_2482/tillsynsmail/A 2056-2024 tillsynsbegäran mail.docx", "A 2056-2024")</f>
        <v/>
      </c>
      <c r="Z1004">
        <f>HYPERLINK("https://klasma.github.io/Logging_2482/fåglar/A 2056-2024 prioriterade fågelarter.docx", "A 2056-2024")</f>
        <v/>
      </c>
    </row>
    <row r="1005" ht="15" customHeight="1">
      <c r="A1005" t="inlineStr">
        <is>
          <t>A 2606-2024</t>
        </is>
      </c>
      <c r="B1005" s="1" t="n">
        <v>45313</v>
      </c>
      <c r="C1005" s="1" t="n">
        <v>45788</v>
      </c>
      <c r="D1005" t="inlineStr">
        <is>
          <t>VÄSTERBOTTENS LÄN</t>
        </is>
      </c>
      <c r="E1005" t="inlineStr">
        <is>
          <t>ÅSELE</t>
        </is>
      </c>
      <c r="F1005" t="inlineStr">
        <is>
          <t>Övriga Aktiebolag</t>
        </is>
      </c>
      <c r="G1005" t="n">
        <v>8.6</v>
      </c>
      <c r="H1005" t="n">
        <v>0</v>
      </c>
      <c r="I1005" t="n">
        <v>1</v>
      </c>
      <c r="J1005" t="n">
        <v>1</v>
      </c>
      <c r="K1005" t="n">
        <v>0</v>
      </c>
      <c r="L1005" t="n">
        <v>0</v>
      </c>
      <c r="M1005" t="n">
        <v>0</v>
      </c>
      <c r="N1005" t="n">
        <v>0</v>
      </c>
      <c r="O1005" t="n">
        <v>1</v>
      </c>
      <c r="P1005" t="n">
        <v>0</v>
      </c>
      <c r="Q1005" t="n">
        <v>2</v>
      </c>
      <c r="R1005" s="2" t="inlineStr">
        <is>
          <t>Ullticka
Dropptaggsvamp</t>
        </is>
      </c>
      <c r="S1005">
        <f>HYPERLINK("https://klasma.github.io/Logging_2463/artfynd/A 2606-2024 artfynd.xlsx", "A 2606-2024")</f>
        <v/>
      </c>
      <c r="T1005">
        <f>HYPERLINK("https://klasma.github.io/Logging_2463/kartor/A 2606-2024 karta.png", "A 2606-2024")</f>
        <v/>
      </c>
      <c r="V1005">
        <f>HYPERLINK("https://klasma.github.io/Logging_2463/klagomål/A 2606-2024 FSC-klagomål.docx", "A 2606-2024")</f>
        <v/>
      </c>
      <c r="W1005">
        <f>HYPERLINK("https://klasma.github.io/Logging_2463/klagomålsmail/A 2606-2024 FSC-klagomål mail.docx", "A 2606-2024")</f>
        <v/>
      </c>
      <c r="X1005">
        <f>HYPERLINK("https://klasma.github.io/Logging_2463/tillsyn/A 2606-2024 tillsynsbegäran.docx", "A 2606-2024")</f>
        <v/>
      </c>
      <c r="Y1005">
        <f>HYPERLINK("https://klasma.github.io/Logging_2463/tillsynsmail/A 2606-2024 tillsynsbegäran mail.docx", "A 2606-2024")</f>
        <v/>
      </c>
    </row>
    <row r="1006" ht="15" customHeight="1">
      <c r="A1006" t="inlineStr">
        <is>
          <t>A 2604-2024</t>
        </is>
      </c>
      <c r="B1006" s="1" t="n">
        <v>45313</v>
      </c>
      <c r="C1006" s="1" t="n">
        <v>45788</v>
      </c>
      <c r="D1006" t="inlineStr">
        <is>
          <t>VÄSTERBOTTENS LÄN</t>
        </is>
      </c>
      <c r="E1006" t="inlineStr">
        <is>
          <t>ÅSELE</t>
        </is>
      </c>
      <c r="G1006" t="n">
        <v>12.1</v>
      </c>
      <c r="H1006" t="n">
        <v>0</v>
      </c>
      <c r="I1006" t="n">
        <v>0</v>
      </c>
      <c r="J1006" t="n">
        <v>2</v>
      </c>
      <c r="K1006" t="n">
        <v>0</v>
      </c>
      <c r="L1006" t="n">
        <v>0</v>
      </c>
      <c r="M1006" t="n">
        <v>0</v>
      </c>
      <c r="N1006" t="n">
        <v>0</v>
      </c>
      <c r="O1006" t="n">
        <v>2</v>
      </c>
      <c r="P1006" t="n">
        <v>0</v>
      </c>
      <c r="Q1006" t="n">
        <v>2</v>
      </c>
      <c r="R1006" s="2" t="inlineStr">
        <is>
          <t>Gammelgransskål
Ullticka</t>
        </is>
      </c>
      <c r="S1006">
        <f>HYPERLINK("https://klasma.github.io/Logging_2463/artfynd/A 2604-2024 artfynd.xlsx", "A 2604-2024")</f>
        <v/>
      </c>
      <c r="T1006">
        <f>HYPERLINK("https://klasma.github.io/Logging_2463/kartor/A 2604-2024 karta.png", "A 2604-2024")</f>
        <v/>
      </c>
      <c r="V1006">
        <f>HYPERLINK("https://klasma.github.io/Logging_2463/klagomål/A 2604-2024 FSC-klagomål.docx", "A 2604-2024")</f>
        <v/>
      </c>
      <c r="W1006">
        <f>HYPERLINK("https://klasma.github.io/Logging_2463/klagomålsmail/A 2604-2024 FSC-klagomål mail.docx", "A 2604-2024")</f>
        <v/>
      </c>
      <c r="X1006">
        <f>HYPERLINK("https://klasma.github.io/Logging_2463/tillsyn/A 2604-2024 tillsynsbegäran.docx", "A 2604-2024")</f>
        <v/>
      </c>
      <c r="Y1006">
        <f>HYPERLINK("https://klasma.github.io/Logging_2463/tillsynsmail/A 2604-2024 tillsynsbegäran mail.docx", "A 2604-2024")</f>
        <v/>
      </c>
    </row>
    <row r="1007" ht="15" customHeight="1">
      <c r="A1007" t="inlineStr">
        <is>
          <t>A 3717-2024</t>
        </is>
      </c>
      <c r="B1007" s="1" t="n">
        <v>45321</v>
      </c>
      <c r="C1007" s="1" t="n">
        <v>45788</v>
      </c>
      <c r="D1007" t="inlineStr">
        <is>
          <t>VÄSTERBOTTENS LÄN</t>
        </is>
      </c>
      <c r="E1007" t="inlineStr">
        <is>
          <t>NORDMALING</t>
        </is>
      </c>
      <c r="G1007" t="n">
        <v>12.4</v>
      </c>
      <c r="H1007" t="n">
        <v>0</v>
      </c>
      <c r="I1007" t="n">
        <v>1</v>
      </c>
      <c r="J1007" t="n">
        <v>1</v>
      </c>
      <c r="K1007" t="n">
        <v>0</v>
      </c>
      <c r="L1007" t="n">
        <v>0</v>
      </c>
      <c r="M1007" t="n">
        <v>0</v>
      </c>
      <c r="N1007" t="n">
        <v>0</v>
      </c>
      <c r="O1007" t="n">
        <v>1</v>
      </c>
      <c r="P1007" t="n">
        <v>0</v>
      </c>
      <c r="Q1007" t="n">
        <v>2</v>
      </c>
      <c r="R1007" s="2" t="inlineStr">
        <is>
          <t>Småflikig brosklav
Stor aspticka</t>
        </is>
      </c>
      <c r="S1007">
        <f>HYPERLINK("https://klasma.github.io/Logging_2401/artfynd/A 3717-2024 artfynd.xlsx", "A 3717-2024")</f>
        <v/>
      </c>
      <c r="T1007">
        <f>HYPERLINK("https://klasma.github.io/Logging_2401/kartor/A 3717-2024 karta.png", "A 3717-2024")</f>
        <v/>
      </c>
      <c r="V1007">
        <f>HYPERLINK("https://klasma.github.io/Logging_2401/klagomål/A 3717-2024 FSC-klagomål.docx", "A 3717-2024")</f>
        <v/>
      </c>
      <c r="W1007">
        <f>HYPERLINK("https://klasma.github.io/Logging_2401/klagomålsmail/A 3717-2024 FSC-klagomål mail.docx", "A 3717-2024")</f>
        <v/>
      </c>
      <c r="X1007">
        <f>HYPERLINK("https://klasma.github.io/Logging_2401/tillsyn/A 3717-2024 tillsynsbegäran.docx", "A 3717-2024")</f>
        <v/>
      </c>
      <c r="Y1007">
        <f>HYPERLINK("https://klasma.github.io/Logging_2401/tillsynsmail/A 3717-2024 tillsynsbegäran mail.docx", "A 3717-2024")</f>
        <v/>
      </c>
    </row>
    <row r="1008" ht="15" customHeight="1">
      <c r="A1008" t="inlineStr">
        <is>
          <t>A 4723-2024</t>
        </is>
      </c>
      <c r="B1008" s="1" t="n">
        <v>45328</v>
      </c>
      <c r="C1008" s="1" t="n">
        <v>45788</v>
      </c>
      <c r="D1008" t="inlineStr">
        <is>
          <t>VÄSTERBOTTENS LÄN</t>
        </is>
      </c>
      <c r="E1008" t="inlineStr">
        <is>
          <t>SORSELE</t>
        </is>
      </c>
      <c r="G1008" t="n">
        <v>28.1</v>
      </c>
      <c r="H1008" t="n">
        <v>0</v>
      </c>
      <c r="I1008" t="n">
        <v>0</v>
      </c>
      <c r="J1008" t="n">
        <v>2</v>
      </c>
      <c r="K1008" t="n">
        <v>0</v>
      </c>
      <c r="L1008" t="n">
        <v>0</v>
      </c>
      <c r="M1008" t="n">
        <v>0</v>
      </c>
      <c r="N1008" t="n">
        <v>0</v>
      </c>
      <c r="O1008" t="n">
        <v>2</v>
      </c>
      <c r="P1008" t="n">
        <v>0</v>
      </c>
      <c r="Q1008" t="n">
        <v>2</v>
      </c>
      <c r="R1008" s="2" t="inlineStr">
        <is>
          <t>Granticka
Harticka</t>
        </is>
      </c>
      <c r="S1008">
        <f>HYPERLINK("https://klasma.github.io/Logging_2422/artfynd/A 4723-2024 artfynd.xlsx", "A 4723-2024")</f>
        <v/>
      </c>
      <c r="T1008">
        <f>HYPERLINK("https://klasma.github.io/Logging_2422/kartor/A 4723-2024 karta.png", "A 4723-2024")</f>
        <v/>
      </c>
      <c r="V1008">
        <f>HYPERLINK("https://klasma.github.io/Logging_2422/klagomål/A 4723-2024 FSC-klagomål.docx", "A 4723-2024")</f>
        <v/>
      </c>
      <c r="W1008">
        <f>HYPERLINK("https://klasma.github.io/Logging_2422/klagomålsmail/A 4723-2024 FSC-klagomål mail.docx", "A 4723-2024")</f>
        <v/>
      </c>
      <c r="X1008">
        <f>HYPERLINK("https://klasma.github.io/Logging_2422/tillsyn/A 4723-2024 tillsynsbegäran.docx", "A 4723-2024")</f>
        <v/>
      </c>
      <c r="Y1008">
        <f>HYPERLINK("https://klasma.github.io/Logging_2422/tillsynsmail/A 4723-2024 tillsynsbegäran mail.docx", "A 4723-2024")</f>
        <v/>
      </c>
    </row>
    <row r="1009" ht="15" customHeight="1">
      <c r="A1009" t="inlineStr">
        <is>
          <t>A 6839-2024</t>
        </is>
      </c>
      <c r="B1009" s="1" t="n">
        <v>45342</v>
      </c>
      <c r="C1009" s="1" t="n">
        <v>45788</v>
      </c>
      <c r="D1009" t="inlineStr">
        <is>
          <t>VÄSTERBOTTENS LÄN</t>
        </is>
      </c>
      <c r="E1009" t="inlineStr">
        <is>
          <t>ROBERTSFORS</t>
        </is>
      </c>
      <c r="F1009" t="inlineStr">
        <is>
          <t>Sveaskog</t>
        </is>
      </c>
      <c r="G1009" t="n">
        <v>6.6</v>
      </c>
      <c r="H1009" t="n">
        <v>0</v>
      </c>
      <c r="I1009" t="n">
        <v>1</v>
      </c>
      <c r="J1009" t="n">
        <v>1</v>
      </c>
      <c r="K1009" t="n">
        <v>0</v>
      </c>
      <c r="L1009" t="n">
        <v>0</v>
      </c>
      <c r="M1009" t="n">
        <v>0</v>
      </c>
      <c r="N1009" t="n">
        <v>0</v>
      </c>
      <c r="O1009" t="n">
        <v>1</v>
      </c>
      <c r="P1009" t="n">
        <v>0</v>
      </c>
      <c r="Q1009" t="n">
        <v>2</v>
      </c>
      <c r="R1009" s="2" t="inlineStr">
        <is>
          <t>Motaggsvamp
Dropptaggsvamp</t>
        </is>
      </c>
      <c r="S1009">
        <f>HYPERLINK("https://klasma.github.io/Logging_2409/artfynd/A 6839-2024 artfynd.xlsx", "A 6839-2024")</f>
        <v/>
      </c>
      <c r="T1009">
        <f>HYPERLINK("https://klasma.github.io/Logging_2409/kartor/A 6839-2024 karta.png", "A 6839-2024")</f>
        <v/>
      </c>
      <c r="V1009">
        <f>HYPERLINK("https://klasma.github.io/Logging_2409/klagomål/A 6839-2024 FSC-klagomål.docx", "A 6839-2024")</f>
        <v/>
      </c>
      <c r="W1009">
        <f>HYPERLINK("https://klasma.github.io/Logging_2409/klagomålsmail/A 6839-2024 FSC-klagomål mail.docx", "A 6839-2024")</f>
        <v/>
      </c>
      <c r="X1009">
        <f>HYPERLINK("https://klasma.github.io/Logging_2409/tillsyn/A 6839-2024 tillsynsbegäran.docx", "A 6839-2024")</f>
        <v/>
      </c>
      <c r="Y1009">
        <f>HYPERLINK("https://klasma.github.io/Logging_2409/tillsynsmail/A 6839-2024 tillsynsbegäran mail.docx", "A 6839-2024")</f>
        <v/>
      </c>
    </row>
    <row r="1010" ht="15" customHeight="1">
      <c r="A1010" t="inlineStr">
        <is>
          <t>A 7050-2024</t>
        </is>
      </c>
      <c r="B1010" s="1" t="n">
        <v>45343</v>
      </c>
      <c r="C1010" s="1" t="n">
        <v>45788</v>
      </c>
      <c r="D1010" t="inlineStr">
        <is>
          <t>VÄSTERBOTTENS LÄN</t>
        </is>
      </c>
      <c r="E1010" t="inlineStr">
        <is>
          <t>UMEÅ</t>
        </is>
      </c>
      <c r="G1010" t="n">
        <v>6.5</v>
      </c>
      <c r="H1010" t="n">
        <v>1</v>
      </c>
      <c r="I1010" t="n">
        <v>0</v>
      </c>
      <c r="J1010" t="n">
        <v>2</v>
      </c>
      <c r="K1010" t="n">
        <v>0</v>
      </c>
      <c r="L1010" t="n">
        <v>0</v>
      </c>
      <c r="M1010" t="n">
        <v>0</v>
      </c>
      <c r="N1010" t="n">
        <v>0</v>
      </c>
      <c r="O1010" t="n">
        <v>2</v>
      </c>
      <c r="P1010" t="n">
        <v>0</v>
      </c>
      <c r="Q1010" t="n">
        <v>2</v>
      </c>
      <c r="R1010" s="2" t="inlineStr">
        <is>
          <t>Granticka
Talltita</t>
        </is>
      </c>
      <c r="S1010">
        <f>HYPERLINK("https://klasma.github.io/Logging_2480/artfynd/A 7050-2024 artfynd.xlsx", "A 7050-2024")</f>
        <v/>
      </c>
      <c r="T1010">
        <f>HYPERLINK("https://klasma.github.io/Logging_2480/kartor/A 7050-2024 karta.png", "A 7050-2024")</f>
        <v/>
      </c>
      <c r="V1010">
        <f>HYPERLINK("https://klasma.github.io/Logging_2480/klagomål/A 7050-2024 FSC-klagomål.docx", "A 7050-2024")</f>
        <v/>
      </c>
      <c r="W1010">
        <f>HYPERLINK("https://klasma.github.io/Logging_2480/klagomålsmail/A 7050-2024 FSC-klagomål mail.docx", "A 7050-2024")</f>
        <v/>
      </c>
      <c r="X1010">
        <f>HYPERLINK("https://klasma.github.io/Logging_2480/tillsyn/A 7050-2024 tillsynsbegäran.docx", "A 7050-2024")</f>
        <v/>
      </c>
      <c r="Y1010">
        <f>HYPERLINK("https://klasma.github.io/Logging_2480/tillsynsmail/A 7050-2024 tillsynsbegäran mail.docx", "A 7050-2024")</f>
        <v/>
      </c>
      <c r="Z1010">
        <f>HYPERLINK("https://klasma.github.io/Logging_2480/fåglar/A 7050-2024 prioriterade fågelarter.docx", "A 7050-2024")</f>
        <v/>
      </c>
    </row>
    <row r="1011" ht="15" customHeight="1">
      <c r="A1011" t="inlineStr">
        <is>
          <t>A 7215-2024</t>
        </is>
      </c>
      <c r="B1011" s="1" t="n">
        <v>45344</v>
      </c>
      <c r="C1011" s="1" t="n">
        <v>45788</v>
      </c>
      <c r="D1011" t="inlineStr">
        <is>
          <t>VÄSTERBOTTENS LÄN</t>
        </is>
      </c>
      <c r="E1011" t="inlineStr">
        <is>
          <t>LYCKSELE</t>
        </is>
      </c>
      <c r="F1011" t="inlineStr">
        <is>
          <t>Sveaskog</t>
        </is>
      </c>
      <c r="G1011" t="n">
        <v>4.3</v>
      </c>
      <c r="H1011" t="n">
        <v>0</v>
      </c>
      <c r="I1011" t="n">
        <v>1</v>
      </c>
      <c r="J1011" t="n">
        <v>1</v>
      </c>
      <c r="K1011" t="n">
        <v>0</v>
      </c>
      <c r="L1011" t="n">
        <v>0</v>
      </c>
      <c r="M1011" t="n">
        <v>0</v>
      </c>
      <c r="N1011" t="n">
        <v>0</v>
      </c>
      <c r="O1011" t="n">
        <v>1</v>
      </c>
      <c r="P1011" t="n">
        <v>0</v>
      </c>
      <c r="Q1011" t="n">
        <v>2</v>
      </c>
      <c r="R1011" s="2" t="inlineStr">
        <is>
          <t>Gammelgransskål
Bronshjon</t>
        </is>
      </c>
      <c r="S1011">
        <f>HYPERLINK("https://klasma.github.io/Logging_2481/artfynd/A 7215-2024 artfynd.xlsx", "A 7215-2024")</f>
        <v/>
      </c>
      <c r="T1011">
        <f>HYPERLINK("https://klasma.github.io/Logging_2481/kartor/A 7215-2024 karta.png", "A 7215-2024")</f>
        <v/>
      </c>
      <c r="V1011">
        <f>HYPERLINK("https://klasma.github.io/Logging_2481/klagomål/A 7215-2024 FSC-klagomål.docx", "A 7215-2024")</f>
        <v/>
      </c>
      <c r="W1011">
        <f>HYPERLINK("https://klasma.github.io/Logging_2481/klagomålsmail/A 7215-2024 FSC-klagomål mail.docx", "A 7215-2024")</f>
        <v/>
      </c>
      <c r="X1011">
        <f>HYPERLINK("https://klasma.github.io/Logging_2481/tillsyn/A 7215-2024 tillsynsbegäran.docx", "A 7215-2024")</f>
        <v/>
      </c>
      <c r="Y1011">
        <f>HYPERLINK("https://klasma.github.io/Logging_2481/tillsynsmail/A 7215-2024 tillsynsbegäran mail.docx", "A 7215-2024")</f>
        <v/>
      </c>
    </row>
    <row r="1012" ht="15" customHeight="1">
      <c r="A1012" t="inlineStr">
        <is>
          <t>A 8715-2024</t>
        </is>
      </c>
      <c r="B1012" s="1" t="n">
        <v>45356</v>
      </c>
      <c r="C1012" s="1" t="n">
        <v>45788</v>
      </c>
      <c r="D1012" t="inlineStr">
        <is>
          <t>VÄSTERBOTTENS LÄN</t>
        </is>
      </c>
      <c r="E1012" t="inlineStr">
        <is>
          <t>UMEÅ</t>
        </is>
      </c>
      <c r="G1012" t="n">
        <v>6.1</v>
      </c>
      <c r="H1012" t="n">
        <v>0</v>
      </c>
      <c r="I1012" t="n">
        <v>0</v>
      </c>
      <c r="J1012" t="n">
        <v>1</v>
      </c>
      <c r="K1012" t="n">
        <v>1</v>
      </c>
      <c r="L1012" t="n">
        <v>0</v>
      </c>
      <c r="M1012" t="n">
        <v>0</v>
      </c>
      <c r="N1012" t="n">
        <v>0</v>
      </c>
      <c r="O1012" t="n">
        <v>2</v>
      </c>
      <c r="P1012" t="n">
        <v>1</v>
      </c>
      <c r="Q1012" t="n">
        <v>2</v>
      </c>
      <c r="R1012" s="2" t="inlineStr">
        <is>
          <t>Turkos blåvinge
Garnlav</t>
        </is>
      </c>
      <c r="S1012">
        <f>HYPERLINK("https://klasma.github.io/Logging_2480/artfynd/A 8715-2024 artfynd.xlsx", "A 8715-2024")</f>
        <v/>
      </c>
      <c r="T1012">
        <f>HYPERLINK("https://klasma.github.io/Logging_2480/kartor/A 8715-2024 karta.png", "A 8715-2024")</f>
        <v/>
      </c>
      <c r="V1012">
        <f>HYPERLINK("https://klasma.github.io/Logging_2480/klagomål/A 8715-2024 FSC-klagomål.docx", "A 8715-2024")</f>
        <v/>
      </c>
      <c r="W1012">
        <f>HYPERLINK("https://klasma.github.io/Logging_2480/klagomålsmail/A 8715-2024 FSC-klagomål mail.docx", "A 8715-2024")</f>
        <v/>
      </c>
      <c r="X1012">
        <f>HYPERLINK("https://klasma.github.io/Logging_2480/tillsyn/A 8715-2024 tillsynsbegäran.docx", "A 8715-2024")</f>
        <v/>
      </c>
      <c r="Y1012">
        <f>HYPERLINK("https://klasma.github.io/Logging_2480/tillsynsmail/A 8715-2024 tillsynsbegäran mail.docx", "A 8715-2024")</f>
        <v/>
      </c>
    </row>
    <row r="1013" ht="15" customHeight="1">
      <c r="A1013" t="inlineStr">
        <is>
          <t>A 9924-2024</t>
        </is>
      </c>
      <c r="B1013" s="1" t="n">
        <v>45363</v>
      </c>
      <c r="C1013" s="1" t="n">
        <v>45788</v>
      </c>
      <c r="D1013" t="inlineStr">
        <is>
          <t>VÄSTERBOTTENS LÄN</t>
        </is>
      </c>
      <c r="E1013" t="inlineStr">
        <is>
          <t>LYCKSELE</t>
        </is>
      </c>
      <c r="F1013" t="inlineStr">
        <is>
          <t>Sveaskog</t>
        </is>
      </c>
      <c r="G1013" t="n">
        <v>5.3</v>
      </c>
      <c r="H1013" t="n">
        <v>0</v>
      </c>
      <c r="I1013" t="n">
        <v>0</v>
      </c>
      <c r="J1013" t="n">
        <v>2</v>
      </c>
      <c r="K1013" t="n">
        <v>0</v>
      </c>
      <c r="L1013" t="n">
        <v>0</v>
      </c>
      <c r="M1013" t="n">
        <v>0</v>
      </c>
      <c r="N1013" t="n">
        <v>0</v>
      </c>
      <c r="O1013" t="n">
        <v>2</v>
      </c>
      <c r="P1013" t="n">
        <v>0</v>
      </c>
      <c r="Q1013" t="n">
        <v>2</v>
      </c>
      <c r="R1013" s="2" t="inlineStr">
        <is>
          <t>Granticka
Kolflarnlav</t>
        </is>
      </c>
      <c r="S1013">
        <f>HYPERLINK("https://klasma.github.io/Logging_2481/artfynd/A 9924-2024 artfynd.xlsx", "A 9924-2024")</f>
        <v/>
      </c>
      <c r="T1013">
        <f>HYPERLINK("https://klasma.github.io/Logging_2481/kartor/A 9924-2024 karta.png", "A 9924-2024")</f>
        <v/>
      </c>
      <c r="V1013">
        <f>HYPERLINK("https://klasma.github.io/Logging_2481/klagomål/A 9924-2024 FSC-klagomål.docx", "A 9924-2024")</f>
        <v/>
      </c>
      <c r="W1013">
        <f>HYPERLINK("https://klasma.github.io/Logging_2481/klagomålsmail/A 9924-2024 FSC-klagomål mail.docx", "A 9924-2024")</f>
        <v/>
      </c>
      <c r="X1013">
        <f>HYPERLINK("https://klasma.github.io/Logging_2481/tillsyn/A 9924-2024 tillsynsbegäran.docx", "A 9924-2024")</f>
        <v/>
      </c>
      <c r="Y1013">
        <f>HYPERLINK("https://klasma.github.io/Logging_2481/tillsynsmail/A 9924-2024 tillsynsbegäran mail.docx", "A 9924-2024")</f>
        <v/>
      </c>
    </row>
    <row r="1014" ht="15" customHeight="1">
      <c r="A1014" t="inlineStr">
        <is>
          <t>A 11443-2024</t>
        </is>
      </c>
      <c r="B1014" s="1" t="n">
        <v>45372</v>
      </c>
      <c r="C1014" s="1" t="n">
        <v>45788</v>
      </c>
      <c r="D1014" t="inlineStr">
        <is>
          <t>VÄSTERBOTTENS LÄN</t>
        </is>
      </c>
      <c r="E1014" t="inlineStr">
        <is>
          <t>LYCKSELE</t>
        </is>
      </c>
      <c r="G1014" t="n">
        <v>2.2</v>
      </c>
      <c r="H1014" t="n">
        <v>1</v>
      </c>
      <c r="I1014" t="n">
        <v>2</v>
      </c>
      <c r="J1014" t="n">
        <v>0</v>
      </c>
      <c r="K1014" t="n">
        <v>0</v>
      </c>
      <c r="L1014" t="n">
        <v>0</v>
      </c>
      <c r="M1014" t="n">
        <v>0</v>
      </c>
      <c r="N1014" t="n">
        <v>0</v>
      </c>
      <c r="O1014" t="n">
        <v>0</v>
      </c>
      <c r="P1014" t="n">
        <v>0</v>
      </c>
      <c r="Q1014" t="n">
        <v>2</v>
      </c>
      <c r="R1014" s="2" t="inlineStr">
        <is>
          <t>Dropptaggsvamp
Plattlummer</t>
        </is>
      </c>
      <c r="S1014">
        <f>HYPERLINK("https://klasma.github.io/Logging_2481/artfynd/A 11443-2024 artfynd.xlsx", "A 11443-2024")</f>
        <v/>
      </c>
      <c r="T1014">
        <f>HYPERLINK("https://klasma.github.io/Logging_2481/kartor/A 11443-2024 karta.png", "A 11443-2024")</f>
        <v/>
      </c>
      <c r="V1014">
        <f>HYPERLINK("https://klasma.github.io/Logging_2481/klagomål/A 11443-2024 FSC-klagomål.docx", "A 11443-2024")</f>
        <v/>
      </c>
      <c r="W1014">
        <f>HYPERLINK("https://klasma.github.io/Logging_2481/klagomålsmail/A 11443-2024 FSC-klagomål mail.docx", "A 11443-2024")</f>
        <v/>
      </c>
      <c r="X1014">
        <f>HYPERLINK("https://klasma.github.io/Logging_2481/tillsyn/A 11443-2024 tillsynsbegäran.docx", "A 11443-2024")</f>
        <v/>
      </c>
      <c r="Y1014">
        <f>HYPERLINK("https://klasma.github.io/Logging_2481/tillsynsmail/A 11443-2024 tillsynsbegäran mail.docx", "A 11443-2024")</f>
        <v/>
      </c>
    </row>
    <row r="1015" ht="15" customHeight="1">
      <c r="A1015" t="inlineStr">
        <is>
          <t>A 14020-2024</t>
        </is>
      </c>
      <c r="B1015" s="1" t="n">
        <v>45392</v>
      </c>
      <c r="C1015" s="1" t="n">
        <v>45788</v>
      </c>
      <c r="D1015" t="inlineStr">
        <is>
          <t>VÄSTERBOTTENS LÄN</t>
        </is>
      </c>
      <c r="E1015" t="inlineStr">
        <is>
          <t>VILHELMINA</t>
        </is>
      </c>
      <c r="G1015" t="n">
        <v>7.3</v>
      </c>
      <c r="H1015" t="n">
        <v>0</v>
      </c>
      <c r="I1015" t="n">
        <v>0</v>
      </c>
      <c r="J1015" t="n">
        <v>2</v>
      </c>
      <c r="K1015" t="n">
        <v>0</v>
      </c>
      <c r="L1015" t="n">
        <v>0</v>
      </c>
      <c r="M1015" t="n">
        <v>0</v>
      </c>
      <c r="N1015" t="n">
        <v>0</v>
      </c>
      <c r="O1015" t="n">
        <v>2</v>
      </c>
      <c r="P1015" t="n">
        <v>0</v>
      </c>
      <c r="Q1015" t="n">
        <v>2</v>
      </c>
      <c r="R1015" s="2" t="inlineStr">
        <is>
          <t>Doftskinn
Garnlav</t>
        </is>
      </c>
      <c r="S1015">
        <f>HYPERLINK("https://klasma.github.io/Logging_2462/artfynd/A 14020-2024 artfynd.xlsx", "A 14020-2024")</f>
        <v/>
      </c>
      <c r="T1015">
        <f>HYPERLINK("https://klasma.github.io/Logging_2462/kartor/A 14020-2024 karta.png", "A 14020-2024")</f>
        <v/>
      </c>
      <c r="V1015">
        <f>HYPERLINK("https://klasma.github.io/Logging_2462/klagomål/A 14020-2024 FSC-klagomål.docx", "A 14020-2024")</f>
        <v/>
      </c>
      <c r="W1015">
        <f>HYPERLINK("https://klasma.github.io/Logging_2462/klagomålsmail/A 14020-2024 FSC-klagomål mail.docx", "A 14020-2024")</f>
        <v/>
      </c>
      <c r="X1015">
        <f>HYPERLINK("https://klasma.github.io/Logging_2462/tillsyn/A 14020-2024 tillsynsbegäran.docx", "A 14020-2024")</f>
        <v/>
      </c>
      <c r="Y1015">
        <f>HYPERLINK("https://klasma.github.io/Logging_2462/tillsynsmail/A 14020-2024 tillsynsbegäran mail.docx", "A 14020-2024")</f>
        <v/>
      </c>
    </row>
    <row r="1016" ht="15" customHeight="1">
      <c r="A1016" t="inlineStr">
        <is>
          <t>A 16914-2024</t>
        </is>
      </c>
      <c r="B1016" s="1" t="n">
        <v>45411</v>
      </c>
      <c r="C1016" s="1" t="n">
        <v>45788</v>
      </c>
      <c r="D1016" t="inlineStr">
        <is>
          <t>VÄSTERBOTTENS LÄN</t>
        </is>
      </c>
      <c r="E1016" t="inlineStr">
        <is>
          <t>LYCKSELE</t>
        </is>
      </c>
      <c r="G1016" t="n">
        <v>24.6</v>
      </c>
      <c r="H1016" t="n">
        <v>2</v>
      </c>
      <c r="I1016" t="n">
        <v>0</v>
      </c>
      <c r="J1016" t="n">
        <v>1</v>
      </c>
      <c r="K1016" t="n">
        <v>0</v>
      </c>
      <c r="L1016" t="n">
        <v>0</v>
      </c>
      <c r="M1016" t="n">
        <v>0</v>
      </c>
      <c r="N1016" t="n">
        <v>0</v>
      </c>
      <c r="O1016" t="n">
        <v>1</v>
      </c>
      <c r="P1016" t="n">
        <v>0</v>
      </c>
      <c r="Q1016" t="n">
        <v>2</v>
      </c>
      <c r="R1016" s="2" t="inlineStr">
        <is>
          <t>Tretåig hackspett
Lavskrika</t>
        </is>
      </c>
      <c r="S1016">
        <f>HYPERLINK("https://klasma.github.io/Logging_2481/artfynd/A 16914-2024 artfynd.xlsx", "A 16914-2024")</f>
        <v/>
      </c>
      <c r="T1016">
        <f>HYPERLINK("https://klasma.github.io/Logging_2481/kartor/A 16914-2024 karta.png", "A 16914-2024")</f>
        <v/>
      </c>
      <c r="V1016">
        <f>HYPERLINK("https://klasma.github.io/Logging_2481/klagomål/A 16914-2024 FSC-klagomål.docx", "A 16914-2024")</f>
        <v/>
      </c>
      <c r="W1016">
        <f>HYPERLINK("https://klasma.github.io/Logging_2481/klagomålsmail/A 16914-2024 FSC-klagomål mail.docx", "A 16914-2024")</f>
        <v/>
      </c>
      <c r="X1016">
        <f>HYPERLINK("https://klasma.github.io/Logging_2481/tillsyn/A 16914-2024 tillsynsbegäran.docx", "A 16914-2024")</f>
        <v/>
      </c>
      <c r="Y1016">
        <f>HYPERLINK("https://klasma.github.io/Logging_2481/tillsynsmail/A 16914-2024 tillsynsbegäran mail.docx", "A 16914-2024")</f>
        <v/>
      </c>
      <c r="Z1016">
        <f>HYPERLINK("https://klasma.github.io/Logging_2481/fåglar/A 16914-2024 prioriterade fågelarter.docx", "A 16914-2024")</f>
        <v/>
      </c>
    </row>
    <row r="1017" ht="15" customHeight="1">
      <c r="A1017" t="inlineStr">
        <is>
          <t>A 18555-2024</t>
        </is>
      </c>
      <c r="B1017" s="1" t="n">
        <v>45425</v>
      </c>
      <c r="C1017" s="1" t="n">
        <v>45788</v>
      </c>
      <c r="D1017" t="inlineStr">
        <is>
          <t>VÄSTERBOTTENS LÄN</t>
        </is>
      </c>
      <c r="E1017" t="inlineStr">
        <is>
          <t>NORSJÖ</t>
        </is>
      </c>
      <c r="F1017" t="inlineStr">
        <is>
          <t>Holmen skog AB</t>
        </is>
      </c>
      <c r="G1017" t="n">
        <v>2.3</v>
      </c>
      <c r="H1017" t="n">
        <v>1</v>
      </c>
      <c r="I1017" t="n">
        <v>0</v>
      </c>
      <c r="J1017" t="n">
        <v>1</v>
      </c>
      <c r="K1017" t="n">
        <v>0</v>
      </c>
      <c r="L1017" t="n">
        <v>0</v>
      </c>
      <c r="M1017" t="n">
        <v>0</v>
      </c>
      <c r="N1017" t="n">
        <v>0</v>
      </c>
      <c r="O1017" t="n">
        <v>1</v>
      </c>
      <c r="P1017" t="n">
        <v>0</v>
      </c>
      <c r="Q1017" t="n">
        <v>2</v>
      </c>
      <c r="R1017" s="2" t="inlineStr">
        <is>
          <t>Granticka
Revlummer</t>
        </is>
      </c>
      <c r="S1017">
        <f>HYPERLINK("https://klasma.github.io/Logging_2417/artfynd/A 18555-2024 artfynd.xlsx", "A 18555-2024")</f>
        <v/>
      </c>
      <c r="T1017">
        <f>HYPERLINK("https://klasma.github.io/Logging_2417/kartor/A 18555-2024 karta.png", "A 18555-2024")</f>
        <v/>
      </c>
      <c r="V1017">
        <f>HYPERLINK("https://klasma.github.io/Logging_2417/klagomål/A 18555-2024 FSC-klagomål.docx", "A 18555-2024")</f>
        <v/>
      </c>
      <c r="W1017">
        <f>HYPERLINK("https://klasma.github.io/Logging_2417/klagomålsmail/A 18555-2024 FSC-klagomål mail.docx", "A 18555-2024")</f>
        <v/>
      </c>
      <c r="X1017">
        <f>HYPERLINK("https://klasma.github.io/Logging_2417/tillsyn/A 18555-2024 tillsynsbegäran.docx", "A 18555-2024")</f>
        <v/>
      </c>
      <c r="Y1017">
        <f>HYPERLINK("https://klasma.github.io/Logging_2417/tillsynsmail/A 18555-2024 tillsynsbegäran mail.docx", "A 18555-2024")</f>
        <v/>
      </c>
    </row>
    <row r="1018" ht="15" customHeight="1">
      <c r="A1018" t="inlineStr">
        <is>
          <t>A 21599-2024</t>
        </is>
      </c>
      <c r="B1018" s="1" t="n">
        <v>45442</v>
      </c>
      <c r="C1018" s="1" t="n">
        <v>45788</v>
      </c>
      <c r="D1018" t="inlineStr">
        <is>
          <t>VÄSTERBOTTENS LÄN</t>
        </is>
      </c>
      <c r="E1018" t="inlineStr">
        <is>
          <t>NORSJÖ</t>
        </is>
      </c>
      <c r="G1018" t="n">
        <v>5.9</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HYPERLINK("https://klasma.github.io/Logging_2417/artfynd/A 21599-2024 artfynd.xlsx", "A 21599-2024")</f>
        <v/>
      </c>
      <c r="T1018">
        <f>HYPERLINK("https://klasma.github.io/Logging_2417/kartor/A 21599-2024 karta.png", "A 21599-2024")</f>
        <v/>
      </c>
      <c r="V1018">
        <f>HYPERLINK("https://klasma.github.io/Logging_2417/klagomål/A 21599-2024 FSC-klagomål.docx", "A 21599-2024")</f>
        <v/>
      </c>
      <c r="W1018">
        <f>HYPERLINK("https://klasma.github.io/Logging_2417/klagomålsmail/A 21599-2024 FSC-klagomål mail.docx", "A 21599-2024")</f>
        <v/>
      </c>
      <c r="X1018">
        <f>HYPERLINK("https://klasma.github.io/Logging_2417/tillsyn/A 21599-2024 tillsynsbegäran.docx", "A 21599-2024")</f>
        <v/>
      </c>
      <c r="Y1018">
        <f>HYPERLINK("https://klasma.github.io/Logging_2417/tillsynsmail/A 21599-2024 tillsynsbegäran mail.docx", "A 21599-2024")</f>
        <v/>
      </c>
    </row>
    <row r="1019" ht="15" customHeight="1">
      <c r="A1019" t="inlineStr">
        <is>
          <t>A 22110-2024</t>
        </is>
      </c>
      <c r="B1019" s="1" t="n">
        <v>45443</v>
      </c>
      <c r="C1019" s="1" t="n">
        <v>45788</v>
      </c>
      <c r="D1019" t="inlineStr">
        <is>
          <t>VÄSTERBOTTENS LÄN</t>
        </is>
      </c>
      <c r="E1019" t="inlineStr">
        <is>
          <t>ÅSELE</t>
        </is>
      </c>
      <c r="F1019" t="inlineStr">
        <is>
          <t>SCA</t>
        </is>
      </c>
      <c r="G1019" t="n">
        <v>11.6</v>
      </c>
      <c r="H1019" t="n">
        <v>0</v>
      </c>
      <c r="I1019" t="n">
        <v>0</v>
      </c>
      <c r="J1019" t="n">
        <v>2</v>
      </c>
      <c r="K1019" t="n">
        <v>0</v>
      </c>
      <c r="L1019" t="n">
        <v>0</v>
      </c>
      <c r="M1019" t="n">
        <v>0</v>
      </c>
      <c r="N1019" t="n">
        <v>0</v>
      </c>
      <c r="O1019" t="n">
        <v>2</v>
      </c>
      <c r="P1019" t="n">
        <v>0</v>
      </c>
      <c r="Q1019" t="n">
        <v>2</v>
      </c>
      <c r="R1019" s="2" t="inlineStr">
        <is>
          <t>Gammelgransskål
Lunglav</t>
        </is>
      </c>
      <c r="S1019">
        <f>HYPERLINK("https://klasma.github.io/Logging_2463/artfynd/A 22110-2024 artfynd.xlsx", "A 22110-2024")</f>
        <v/>
      </c>
      <c r="T1019">
        <f>HYPERLINK("https://klasma.github.io/Logging_2463/kartor/A 22110-2024 karta.png", "A 22110-2024")</f>
        <v/>
      </c>
      <c r="V1019">
        <f>HYPERLINK("https://klasma.github.io/Logging_2463/klagomål/A 22110-2024 FSC-klagomål.docx", "A 22110-2024")</f>
        <v/>
      </c>
      <c r="W1019">
        <f>HYPERLINK("https://klasma.github.io/Logging_2463/klagomålsmail/A 22110-2024 FSC-klagomål mail.docx", "A 22110-2024")</f>
        <v/>
      </c>
      <c r="X1019">
        <f>HYPERLINK("https://klasma.github.io/Logging_2463/tillsyn/A 22110-2024 tillsynsbegäran.docx", "A 22110-2024")</f>
        <v/>
      </c>
      <c r="Y1019">
        <f>HYPERLINK("https://klasma.github.io/Logging_2463/tillsynsmail/A 22110-2024 tillsynsbegäran mail.docx", "A 22110-2024")</f>
        <v/>
      </c>
    </row>
    <row r="1020" ht="15" customHeight="1">
      <c r="A1020" t="inlineStr">
        <is>
          <t>A 22648-2024</t>
        </is>
      </c>
      <c r="B1020" s="1" t="n">
        <v>45447</v>
      </c>
      <c r="C1020" s="1" t="n">
        <v>45788</v>
      </c>
      <c r="D1020" t="inlineStr">
        <is>
          <t>VÄSTERBOTTENS LÄN</t>
        </is>
      </c>
      <c r="E1020" t="inlineStr">
        <is>
          <t>VÄNNÄS</t>
        </is>
      </c>
      <c r="F1020" t="inlineStr">
        <is>
          <t>Holmen skog AB</t>
        </is>
      </c>
      <c r="G1020" t="n">
        <v>5.5</v>
      </c>
      <c r="H1020" t="n">
        <v>2</v>
      </c>
      <c r="I1020" t="n">
        <v>1</v>
      </c>
      <c r="J1020" t="n">
        <v>1</v>
      </c>
      <c r="K1020" t="n">
        <v>0</v>
      </c>
      <c r="L1020" t="n">
        <v>0</v>
      </c>
      <c r="M1020" t="n">
        <v>0</v>
      </c>
      <c r="N1020" t="n">
        <v>0</v>
      </c>
      <c r="O1020" t="n">
        <v>1</v>
      </c>
      <c r="P1020" t="n">
        <v>0</v>
      </c>
      <c r="Q1020" t="n">
        <v>2</v>
      </c>
      <c r="R1020" s="2" t="inlineStr">
        <is>
          <t>Spillkråka
Spindelblomster</t>
        </is>
      </c>
      <c r="S1020">
        <f>HYPERLINK("https://klasma.github.io/Logging_2460/artfynd/A 22648-2024 artfynd.xlsx", "A 22648-2024")</f>
        <v/>
      </c>
      <c r="T1020">
        <f>HYPERLINK("https://klasma.github.io/Logging_2460/kartor/A 22648-2024 karta.png", "A 22648-2024")</f>
        <v/>
      </c>
      <c r="V1020">
        <f>HYPERLINK("https://klasma.github.io/Logging_2460/klagomål/A 22648-2024 FSC-klagomål.docx", "A 22648-2024")</f>
        <v/>
      </c>
      <c r="W1020">
        <f>HYPERLINK("https://klasma.github.io/Logging_2460/klagomålsmail/A 22648-2024 FSC-klagomål mail.docx", "A 22648-2024")</f>
        <v/>
      </c>
      <c r="X1020">
        <f>HYPERLINK("https://klasma.github.io/Logging_2460/tillsyn/A 22648-2024 tillsynsbegäran.docx", "A 22648-2024")</f>
        <v/>
      </c>
      <c r="Y1020">
        <f>HYPERLINK("https://klasma.github.io/Logging_2460/tillsynsmail/A 22648-2024 tillsynsbegäran mail.docx", "A 22648-2024")</f>
        <v/>
      </c>
      <c r="Z1020">
        <f>HYPERLINK("https://klasma.github.io/Logging_2460/fåglar/A 22648-2024 prioriterade fågelarter.docx", "A 22648-2024")</f>
        <v/>
      </c>
    </row>
    <row r="1021" ht="15" customHeight="1">
      <c r="A1021" t="inlineStr">
        <is>
          <t>A 24826-2024</t>
        </is>
      </c>
      <c r="B1021" s="1" t="n">
        <v>45461</v>
      </c>
      <c r="C1021" s="1" t="n">
        <v>45788</v>
      </c>
      <c r="D1021" t="inlineStr">
        <is>
          <t>VÄSTERBOTTENS LÄN</t>
        </is>
      </c>
      <c r="E1021" t="inlineStr">
        <is>
          <t>LYCKSELE</t>
        </is>
      </c>
      <c r="F1021" t="inlineStr">
        <is>
          <t>Sveaskog</t>
        </is>
      </c>
      <c r="G1021" t="n">
        <v>5.7</v>
      </c>
      <c r="H1021" t="n">
        <v>0</v>
      </c>
      <c r="I1021" t="n">
        <v>1</v>
      </c>
      <c r="J1021" t="n">
        <v>1</v>
      </c>
      <c r="K1021" t="n">
        <v>0</v>
      </c>
      <c r="L1021" t="n">
        <v>0</v>
      </c>
      <c r="M1021" t="n">
        <v>0</v>
      </c>
      <c r="N1021" t="n">
        <v>0</v>
      </c>
      <c r="O1021" t="n">
        <v>1</v>
      </c>
      <c r="P1021" t="n">
        <v>0</v>
      </c>
      <c r="Q1021" t="n">
        <v>2</v>
      </c>
      <c r="R1021" s="2" t="inlineStr">
        <is>
          <t>Lunglav
Stuplav</t>
        </is>
      </c>
      <c r="S1021">
        <f>HYPERLINK("https://klasma.github.io/Logging_2481/artfynd/A 24826-2024 artfynd.xlsx", "A 24826-2024")</f>
        <v/>
      </c>
      <c r="T1021">
        <f>HYPERLINK("https://klasma.github.io/Logging_2481/kartor/A 24826-2024 karta.png", "A 24826-2024")</f>
        <v/>
      </c>
      <c r="V1021">
        <f>HYPERLINK("https://klasma.github.io/Logging_2481/klagomål/A 24826-2024 FSC-klagomål.docx", "A 24826-2024")</f>
        <v/>
      </c>
      <c r="W1021">
        <f>HYPERLINK("https://klasma.github.io/Logging_2481/klagomålsmail/A 24826-2024 FSC-klagomål mail.docx", "A 24826-2024")</f>
        <v/>
      </c>
      <c r="X1021">
        <f>HYPERLINK("https://klasma.github.io/Logging_2481/tillsyn/A 24826-2024 tillsynsbegäran.docx", "A 24826-2024")</f>
        <v/>
      </c>
      <c r="Y1021">
        <f>HYPERLINK("https://klasma.github.io/Logging_2481/tillsynsmail/A 24826-2024 tillsynsbegäran mail.docx", "A 24826-2024")</f>
        <v/>
      </c>
    </row>
    <row r="1022" ht="15" customHeight="1">
      <c r="A1022" t="inlineStr">
        <is>
          <t>A 25037-2024</t>
        </is>
      </c>
      <c r="B1022" s="1" t="n">
        <v>45461</v>
      </c>
      <c r="C1022" s="1" t="n">
        <v>45788</v>
      </c>
      <c r="D1022" t="inlineStr">
        <is>
          <t>VÄSTERBOTTENS LÄN</t>
        </is>
      </c>
      <c r="E1022" t="inlineStr">
        <is>
          <t>VILHELMINA</t>
        </is>
      </c>
      <c r="F1022" t="inlineStr">
        <is>
          <t>SCA</t>
        </is>
      </c>
      <c r="G1022" t="n">
        <v>0.5</v>
      </c>
      <c r="H1022" t="n">
        <v>2</v>
      </c>
      <c r="I1022" t="n">
        <v>0</v>
      </c>
      <c r="J1022" t="n">
        <v>1</v>
      </c>
      <c r="K1022" t="n">
        <v>0</v>
      </c>
      <c r="L1022" t="n">
        <v>0</v>
      </c>
      <c r="M1022" t="n">
        <v>0</v>
      </c>
      <c r="N1022" t="n">
        <v>0</v>
      </c>
      <c r="O1022" t="n">
        <v>1</v>
      </c>
      <c r="P1022" t="n">
        <v>0</v>
      </c>
      <c r="Q1022" t="n">
        <v>2</v>
      </c>
      <c r="R1022" s="2" t="inlineStr">
        <is>
          <t>Tretåig hackspett
Lavskrika</t>
        </is>
      </c>
      <c r="S1022">
        <f>HYPERLINK("https://klasma.github.io/Logging_2462/artfynd/A 25037-2024 artfynd.xlsx", "A 25037-2024")</f>
        <v/>
      </c>
      <c r="T1022">
        <f>HYPERLINK("https://klasma.github.io/Logging_2462/kartor/A 25037-2024 karta.png", "A 25037-2024")</f>
        <v/>
      </c>
      <c r="V1022">
        <f>HYPERLINK("https://klasma.github.io/Logging_2462/klagomål/A 25037-2024 FSC-klagomål.docx", "A 25037-2024")</f>
        <v/>
      </c>
      <c r="W1022">
        <f>HYPERLINK("https://klasma.github.io/Logging_2462/klagomålsmail/A 25037-2024 FSC-klagomål mail.docx", "A 25037-2024")</f>
        <v/>
      </c>
      <c r="X1022">
        <f>HYPERLINK("https://klasma.github.io/Logging_2462/tillsyn/A 25037-2024 tillsynsbegäran.docx", "A 25037-2024")</f>
        <v/>
      </c>
      <c r="Y1022">
        <f>HYPERLINK("https://klasma.github.io/Logging_2462/tillsynsmail/A 25037-2024 tillsynsbegäran mail.docx", "A 25037-2024")</f>
        <v/>
      </c>
      <c r="Z1022">
        <f>HYPERLINK("https://klasma.github.io/Logging_2462/fåglar/A 25037-2024 prioriterade fågelarter.docx", "A 25037-2024")</f>
        <v/>
      </c>
    </row>
    <row r="1023" ht="15" customHeight="1">
      <c r="A1023" t="inlineStr">
        <is>
          <t>A 25668-2024</t>
        </is>
      </c>
      <c r="B1023" s="1" t="n">
        <v>45463</v>
      </c>
      <c r="C1023" s="1" t="n">
        <v>45788</v>
      </c>
      <c r="D1023" t="inlineStr">
        <is>
          <t>VÄSTERBOTTENS LÄN</t>
        </is>
      </c>
      <c r="E1023" t="inlineStr">
        <is>
          <t>BJURHOLM</t>
        </is>
      </c>
      <c r="G1023" t="n">
        <v>9.699999999999999</v>
      </c>
      <c r="H1023" t="n">
        <v>0</v>
      </c>
      <c r="I1023" t="n">
        <v>1</v>
      </c>
      <c r="J1023" t="n">
        <v>1</v>
      </c>
      <c r="K1023" t="n">
        <v>0</v>
      </c>
      <c r="L1023" t="n">
        <v>0</v>
      </c>
      <c r="M1023" t="n">
        <v>0</v>
      </c>
      <c r="N1023" t="n">
        <v>0</v>
      </c>
      <c r="O1023" t="n">
        <v>1</v>
      </c>
      <c r="P1023" t="n">
        <v>0</v>
      </c>
      <c r="Q1023" t="n">
        <v>2</v>
      </c>
      <c r="R1023" s="2" t="inlineStr">
        <is>
          <t>Stjärntagging
Tibast</t>
        </is>
      </c>
      <c r="S1023">
        <f>HYPERLINK("https://klasma.github.io/Logging_2403/artfynd/A 25668-2024 artfynd.xlsx", "A 25668-2024")</f>
        <v/>
      </c>
      <c r="T1023">
        <f>HYPERLINK("https://klasma.github.io/Logging_2403/kartor/A 25668-2024 karta.png", "A 25668-2024")</f>
        <v/>
      </c>
      <c r="V1023">
        <f>HYPERLINK("https://klasma.github.io/Logging_2403/klagomål/A 25668-2024 FSC-klagomål.docx", "A 25668-2024")</f>
        <v/>
      </c>
      <c r="W1023">
        <f>HYPERLINK("https://klasma.github.io/Logging_2403/klagomålsmail/A 25668-2024 FSC-klagomål mail.docx", "A 25668-2024")</f>
        <v/>
      </c>
      <c r="X1023">
        <f>HYPERLINK("https://klasma.github.io/Logging_2403/tillsyn/A 25668-2024 tillsynsbegäran.docx", "A 25668-2024")</f>
        <v/>
      </c>
      <c r="Y1023">
        <f>HYPERLINK("https://klasma.github.io/Logging_2403/tillsynsmail/A 25668-2024 tillsynsbegäran mail.docx", "A 25668-2024")</f>
        <v/>
      </c>
    </row>
    <row r="1024" ht="15" customHeight="1">
      <c r="A1024" t="inlineStr">
        <is>
          <t>A 25712-2024</t>
        </is>
      </c>
      <c r="B1024" s="1" t="n">
        <v>45463</v>
      </c>
      <c r="C1024" s="1" t="n">
        <v>45788</v>
      </c>
      <c r="D1024" t="inlineStr">
        <is>
          <t>VÄSTERBOTTENS LÄN</t>
        </is>
      </c>
      <c r="E1024" t="inlineStr">
        <is>
          <t>ÅSELE</t>
        </is>
      </c>
      <c r="F1024" t="inlineStr">
        <is>
          <t>SCA</t>
        </is>
      </c>
      <c r="G1024" t="n">
        <v>3.3</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HYPERLINK("https://klasma.github.io/Logging_2463/artfynd/A 25712-2024 artfynd.xlsx", "A 25712-2024")</f>
        <v/>
      </c>
      <c r="T1024">
        <f>HYPERLINK("https://klasma.github.io/Logging_2463/kartor/A 25712-2024 karta.png", "A 25712-2024")</f>
        <v/>
      </c>
      <c r="V1024">
        <f>HYPERLINK("https://klasma.github.io/Logging_2463/klagomål/A 25712-2024 FSC-klagomål.docx", "A 25712-2024")</f>
        <v/>
      </c>
      <c r="W1024">
        <f>HYPERLINK("https://klasma.github.io/Logging_2463/klagomålsmail/A 25712-2024 FSC-klagomål mail.docx", "A 25712-2024")</f>
        <v/>
      </c>
      <c r="X1024">
        <f>HYPERLINK("https://klasma.github.io/Logging_2463/tillsyn/A 25712-2024 tillsynsbegäran.docx", "A 25712-2024")</f>
        <v/>
      </c>
      <c r="Y1024">
        <f>HYPERLINK("https://klasma.github.io/Logging_2463/tillsynsmail/A 25712-2024 tillsynsbegäran mail.docx", "A 25712-2024")</f>
        <v/>
      </c>
    </row>
    <row r="1025" ht="15" customHeight="1">
      <c r="A1025" t="inlineStr">
        <is>
          <t>A 27295-2024</t>
        </is>
      </c>
      <c r="B1025" s="1" t="n">
        <v>45472</v>
      </c>
      <c r="C1025" s="1" t="n">
        <v>45788</v>
      </c>
      <c r="D1025" t="inlineStr">
        <is>
          <t>VÄSTERBOTTENS LÄN</t>
        </is>
      </c>
      <c r="E1025" t="inlineStr">
        <is>
          <t>BJURHOLM</t>
        </is>
      </c>
      <c r="F1025" t="inlineStr">
        <is>
          <t>SCA</t>
        </is>
      </c>
      <c r="G1025" t="n">
        <v>1.9</v>
      </c>
      <c r="H1025" t="n">
        <v>0</v>
      </c>
      <c r="I1025" t="n">
        <v>1</v>
      </c>
      <c r="J1025" t="n">
        <v>1</v>
      </c>
      <c r="K1025" t="n">
        <v>0</v>
      </c>
      <c r="L1025" t="n">
        <v>0</v>
      </c>
      <c r="M1025" t="n">
        <v>0</v>
      </c>
      <c r="N1025" t="n">
        <v>0</v>
      </c>
      <c r="O1025" t="n">
        <v>1</v>
      </c>
      <c r="P1025" t="n">
        <v>0</v>
      </c>
      <c r="Q1025" t="n">
        <v>2</v>
      </c>
      <c r="R1025" s="2" t="inlineStr">
        <is>
          <t>Kolflarnlav
Dropptaggsvamp</t>
        </is>
      </c>
      <c r="S1025">
        <f>HYPERLINK("https://klasma.github.io/Logging_2403/artfynd/A 27295-2024 artfynd.xlsx", "A 27295-2024")</f>
        <v/>
      </c>
      <c r="T1025">
        <f>HYPERLINK("https://klasma.github.io/Logging_2403/kartor/A 27295-2024 karta.png", "A 27295-2024")</f>
        <v/>
      </c>
      <c r="V1025">
        <f>HYPERLINK("https://klasma.github.io/Logging_2403/klagomål/A 27295-2024 FSC-klagomål.docx", "A 27295-2024")</f>
        <v/>
      </c>
      <c r="W1025">
        <f>HYPERLINK("https://klasma.github.io/Logging_2403/klagomålsmail/A 27295-2024 FSC-klagomål mail.docx", "A 27295-2024")</f>
        <v/>
      </c>
      <c r="X1025">
        <f>HYPERLINK("https://klasma.github.io/Logging_2403/tillsyn/A 27295-2024 tillsynsbegäran.docx", "A 27295-2024")</f>
        <v/>
      </c>
      <c r="Y1025">
        <f>HYPERLINK("https://klasma.github.io/Logging_2403/tillsynsmail/A 27295-2024 tillsynsbegäran mail.docx", "A 27295-2024")</f>
        <v/>
      </c>
    </row>
    <row r="1026" ht="15" customHeight="1">
      <c r="A1026" t="inlineStr">
        <is>
          <t>A 27698-2024</t>
        </is>
      </c>
      <c r="B1026" s="1" t="n">
        <v>45475</v>
      </c>
      <c r="C1026" s="1" t="n">
        <v>45788</v>
      </c>
      <c r="D1026" t="inlineStr">
        <is>
          <t>VÄSTERBOTTENS LÄN</t>
        </is>
      </c>
      <c r="E1026" t="inlineStr">
        <is>
          <t>LYCKSELE</t>
        </is>
      </c>
      <c r="G1026" t="n">
        <v>13.8</v>
      </c>
      <c r="H1026" t="n">
        <v>0</v>
      </c>
      <c r="I1026" t="n">
        <v>1</v>
      </c>
      <c r="J1026" t="n">
        <v>1</v>
      </c>
      <c r="K1026" t="n">
        <v>0</v>
      </c>
      <c r="L1026" t="n">
        <v>0</v>
      </c>
      <c r="M1026" t="n">
        <v>0</v>
      </c>
      <c r="N1026" t="n">
        <v>0</v>
      </c>
      <c r="O1026" t="n">
        <v>1</v>
      </c>
      <c r="P1026" t="n">
        <v>0</v>
      </c>
      <c r="Q1026" t="n">
        <v>2</v>
      </c>
      <c r="R1026" s="2" t="inlineStr">
        <is>
          <t>Blå taggsvamp
Dropptaggsvamp</t>
        </is>
      </c>
      <c r="S1026">
        <f>HYPERLINK("https://klasma.github.io/Logging_2481/artfynd/A 27698-2024 artfynd.xlsx", "A 27698-2024")</f>
        <v/>
      </c>
      <c r="T1026">
        <f>HYPERLINK("https://klasma.github.io/Logging_2481/kartor/A 27698-2024 karta.png", "A 27698-2024")</f>
        <v/>
      </c>
      <c r="V1026">
        <f>HYPERLINK("https://klasma.github.io/Logging_2481/klagomål/A 27698-2024 FSC-klagomål.docx", "A 27698-2024")</f>
        <v/>
      </c>
      <c r="W1026">
        <f>HYPERLINK("https://klasma.github.io/Logging_2481/klagomålsmail/A 27698-2024 FSC-klagomål mail.docx", "A 27698-2024")</f>
        <v/>
      </c>
      <c r="X1026">
        <f>HYPERLINK("https://klasma.github.io/Logging_2481/tillsyn/A 27698-2024 tillsynsbegäran.docx", "A 27698-2024")</f>
        <v/>
      </c>
      <c r="Y1026">
        <f>HYPERLINK("https://klasma.github.io/Logging_2481/tillsynsmail/A 27698-2024 tillsynsbegäran mail.docx", "A 27698-2024")</f>
        <v/>
      </c>
    </row>
    <row r="1027" ht="15" customHeight="1">
      <c r="A1027" t="inlineStr">
        <is>
          <t>A 29072-2024</t>
        </is>
      </c>
      <c r="B1027" s="1" t="n">
        <v>45481</v>
      </c>
      <c r="C1027" s="1" t="n">
        <v>45788</v>
      </c>
      <c r="D1027" t="inlineStr">
        <is>
          <t>VÄSTERBOTTENS LÄN</t>
        </is>
      </c>
      <c r="E1027" t="inlineStr">
        <is>
          <t>VILHELMINA</t>
        </is>
      </c>
      <c r="G1027" t="n">
        <v>17.2</v>
      </c>
      <c r="H1027" t="n">
        <v>0</v>
      </c>
      <c r="I1027" t="n">
        <v>0</v>
      </c>
      <c r="J1027" t="n">
        <v>1</v>
      </c>
      <c r="K1027" t="n">
        <v>1</v>
      </c>
      <c r="L1027" t="n">
        <v>0</v>
      </c>
      <c r="M1027" t="n">
        <v>0</v>
      </c>
      <c r="N1027" t="n">
        <v>0</v>
      </c>
      <c r="O1027" t="n">
        <v>2</v>
      </c>
      <c r="P1027" t="n">
        <v>1</v>
      </c>
      <c r="Q1027" t="n">
        <v>2</v>
      </c>
      <c r="R1027" s="2" t="inlineStr">
        <is>
          <t>Rynkskinn
Harticka</t>
        </is>
      </c>
      <c r="S1027">
        <f>HYPERLINK("https://klasma.github.io/Logging_2462/artfynd/A 29072-2024 artfynd.xlsx", "A 29072-2024")</f>
        <v/>
      </c>
      <c r="T1027">
        <f>HYPERLINK("https://klasma.github.io/Logging_2462/kartor/A 29072-2024 karta.png", "A 29072-2024")</f>
        <v/>
      </c>
      <c r="V1027">
        <f>HYPERLINK("https://klasma.github.io/Logging_2462/klagomål/A 29072-2024 FSC-klagomål.docx", "A 29072-2024")</f>
        <v/>
      </c>
      <c r="W1027">
        <f>HYPERLINK("https://klasma.github.io/Logging_2462/klagomålsmail/A 29072-2024 FSC-klagomål mail.docx", "A 29072-2024")</f>
        <v/>
      </c>
      <c r="X1027">
        <f>HYPERLINK("https://klasma.github.io/Logging_2462/tillsyn/A 29072-2024 tillsynsbegäran.docx", "A 29072-2024")</f>
        <v/>
      </c>
      <c r="Y1027">
        <f>HYPERLINK("https://klasma.github.io/Logging_2462/tillsynsmail/A 29072-2024 tillsynsbegäran mail.docx", "A 29072-2024")</f>
        <v/>
      </c>
    </row>
    <row r="1028" ht="15" customHeight="1">
      <c r="A1028" t="inlineStr">
        <is>
          <t>A 31320-2024</t>
        </is>
      </c>
      <c r="B1028" s="1" t="n">
        <v>45504</v>
      </c>
      <c r="C1028" s="1" t="n">
        <v>45788</v>
      </c>
      <c r="D1028" t="inlineStr">
        <is>
          <t>VÄSTERBOTTENS LÄN</t>
        </is>
      </c>
      <c r="E1028" t="inlineStr">
        <is>
          <t>ROBERTSFORS</t>
        </is>
      </c>
      <c r="F1028" t="inlineStr">
        <is>
          <t>Holmen skog AB</t>
        </is>
      </c>
      <c r="G1028" t="n">
        <v>4.9</v>
      </c>
      <c r="H1028" t="n">
        <v>0</v>
      </c>
      <c r="I1028" t="n">
        <v>0</v>
      </c>
      <c r="J1028" t="n">
        <v>2</v>
      </c>
      <c r="K1028" t="n">
        <v>0</v>
      </c>
      <c r="L1028" t="n">
        <v>0</v>
      </c>
      <c r="M1028" t="n">
        <v>0</v>
      </c>
      <c r="N1028" t="n">
        <v>0</v>
      </c>
      <c r="O1028" t="n">
        <v>2</v>
      </c>
      <c r="P1028" t="n">
        <v>0</v>
      </c>
      <c r="Q1028" t="n">
        <v>2</v>
      </c>
      <c r="R1028" s="2" t="inlineStr">
        <is>
          <t>Kolflarnlav
Vedflamlav</t>
        </is>
      </c>
      <c r="S1028">
        <f>HYPERLINK("https://klasma.github.io/Logging_2409/artfynd/A 31320-2024 artfynd.xlsx", "A 31320-2024")</f>
        <v/>
      </c>
      <c r="T1028">
        <f>HYPERLINK("https://klasma.github.io/Logging_2409/kartor/A 31320-2024 karta.png", "A 31320-2024")</f>
        <v/>
      </c>
      <c r="V1028">
        <f>HYPERLINK("https://klasma.github.io/Logging_2409/klagomål/A 31320-2024 FSC-klagomål.docx", "A 31320-2024")</f>
        <v/>
      </c>
      <c r="W1028">
        <f>HYPERLINK("https://klasma.github.io/Logging_2409/klagomålsmail/A 31320-2024 FSC-klagomål mail.docx", "A 31320-2024")</f>
        <v/>
      </c>
      <c r="X1028">
        <f>HYPERLINK("https://klasma.github.io/Logging_2409/tillsyn/A 31320-2024 tillsynsbegäran.docx", "A 31320-2024")</f>
        <v/>
      </c>
      <c r="Y1028">
        <f>HYPERLINK("https://klasma.github.io/Logging_2409/tillsynsmail/A 31320-2024 tillsynsbegäran mail.docx", "A 31320-2024")</f>
        <v/>
      </c>
    </row>
    <row r="1029" ht="15" customHeight="1">
      <c r="A1029" t="inlineStr">
        <is>
          <t>A 32618-2024</t>
        </is>
      </c>
      <c r="B1029" s="1" t="n">
        <v>45513</v>
      </c>
      <c r="C1029" s="1" t="n">
        <v>45788</v>
      </c>
      <c r="D1029" t="inlineStr">
        <is>
          <t>VÄSTERBOTTENS LÄN</t>
        </is>
      </c>
      <c r="E1029" t="inlineStr">
        <is>
          <t>NORSJÖ</t>
        </is>
      </c>
      <c r="F1029" t="inlineStr">
        <is>
          <t>Holmen skog AB</t>
        </is>
      </c>
      <c r="G1029" t="n">
        <v>1.3</v>
      </c>
      <c r="H1029" t="n">
        <v>0</v>
      </c>
      <c r="I1029" t="n">
        <v>0</v>
      </c>
      <c r="J1029" t="n">
        <v>2</v>
      </c>
      <c r="K1029" t="n">
        <v>0</v>
      </c>
      <c r="L1029" t="n">
        <v>0</v>
      </c>
      <c r="M1029" t="n">
        <v>0</v>
      </c>
      <c r="N1029" t="n">
        <v>0</v>
      </c>
      <c r="O1029" t="n">
        <v>2</v>
      </c>
      <c r="P1029" t="n">
        <v>0</v>
      </c>
      <c r="Q1029" t="n">
        <v>2</v>
      </c>
      <c r="R1029" s="2" t="inlineStr">
        <is>
          <t>Gammelgransskål
Garnlav</t>
        </is>
      </c>
      <c r="S1029">
        <f>HYPERLINK("https://klasma.github.io/Logging_2417/artfynd/A 32618-2024 artfynd.xlsx", "A 32618-2024")</f>
        <v/>
      </c>
      <c r="T1029">
        <f>HYPERLINK("https://klasma.github.io/Logging_2417/kartor/A 32618-2024 karta.png", "A 32618-2024")</f>
        <v/>
      </c>
      <c r="V1029">
        <f>HYPERLINK("https://klasma.github.io/Logging_2417/klagomål/A 32618-2024 FSC-klagomål.docx", "A 32618-2024")</f>
        <v/>
      </c>
      <c r="W1029">
        <f>HYPERLINK("https://klasma.github.io/Logging_2417/klagomålsmail/A 32618-2024 FSC-klagomål mail.docx", "A 32618-2024")</f>
        <v/>
      </c>
      <c r="X1029">
        <f>HYPERLINK("https://klasma.github.io/Logging_2417/tillsyn/A 32618-2024 tillsynsbegäran.docx", "A 32618-2024")</f>
        <v/>
      </c>
      <c r="Y1029">
        <f>HYPERLINK("https://klasma.github.io/Logging_2417/tillsynsmail/A 32618-2024 tillsynsbegäran mail.docx", "A 32618-2024")</f>
        <v/>
      </c>
    </row>
    <row r="1030" ht="15" customHeight="1">
      <c r="A1030" t="inlineStr">
        <is>
          <t>A 32731-2024</t>
        </is>
      </c>
      <c r="B1030" s="1" t="n">
        <v>45516</v>
      </c>
      <c r="C1030" s="1" t="n">
        <v>45788</v>
      </c>
      <c r="D1030" t="inlineStr">
        <is>
          <t>VÄSTERBOTTENS LÄN</t>
        </is>
      </c>
      <c r="E1030" t="inlineStr">
        <is>
          <t>LYCKSELE</t>
        </is>
      </c>
      <c r="F1030" t="inlineStr">
        <is>
          <t>Sveaskog</t>
        </is>
      </c>
      <c r="G1030" t="n">
        <v>4.8</v>
      </c>
      <c r="H1030" t="n">
        <v>0</v>
      </c>
      <c r="I1030" t="n">
        <v>0</v>
      </c>
      <c r="J1030" t="n">
        <v>2</v>
      </c>
      <c r="K1030" t="n">
        <v>0</v>
      </c>
      <c r="L1030" t="n">
        <v>0</v>
      </c>
      <c r="M1030" t="n">
        <v>0</v>
      </c>
      <c r="N1030" t="n">
        <v>0</v>
      </c>
      <c r="O1030" t="n">
        <v>2</v>
      </c>
      <c r="P1030" t="n">
        <v>0</v>
      </c>
      <c r="Q1030" t="n">
        <v>2</v>
      </c>
      <c r="R1030" s="2" t="inlineStr">
        <is>
          <t>Blå taggsvamp
Kolflarnlav</t>
        </is>
      </c>
      <c r="S1030">
        <f>HYPERLINK("https://klasma.github.io/Logging_2481/artfynd/A 32731-2024 artfynd.xlsx", "A 32731-2024")</f>
        <v/>
      </c>
      <c r="T1030">
        <f>HYPERLINK("https://klasma.github.io/Logging_2481/kartor/A 32731-2024 karta.png", "A 32731-2024")</f>
        <v/>
      </c>
      <c r="V1030">
        <f>HYPERLINK("https://klasma.github.io/Logging_2481/klagomål/A 32731-2024 FSC-klagomål.docx", "A 32731-2024")</f>
        <v/>
      </c>
      <c r="W1030">
        <f>HYPERLINK("https://klasma.github.io/Logging_2481/klagomålsmail/A 32731-2024 FSC-klagomål mail.docx", "A 32731-2024")</f>
        <v/>
      </c>
      <c r="X1030">
        <f>HYPERLINK("https://klasma.github.io/Logging_2481/tillsyn/A 32731-2024 tillsynsbegäran.docx", "A 32731-2024")</f>
        <v/>
      </c>
      <c r="Y1030">
        <f>HYPERLINK("https://klasma.github.io/Logging_2481/tillsynsmail/A 32731-2024 tillsynsbegäran mail.docx", "A 32731-2024")</f>
        <v/>
      </c>
    </row>
    <row r="1031" ht="15" customHeight="1">
      <c r="A1031" t="inlineStr">
        <is>
          <t>A 32705-2024</t>
        </is>
      </c>
      <c r="B1031" s="1" t="n">
        <v>45516</v>
      </c>
      <c r="C1031" s="1" t="n">
        <v>45788</v>
      </c>
      <c r="D1031" t="inlineStr">
        <is>
          <t>VÄSTERBOTTENS LÄN</t>
        </is>
      </c>
      <c r="E1031" t="inlineStr">
        <is>
          <t>VILHELMINA</t>
        </is>
      </c>
      <c r="G1031" t="n">
        <v>10.8</v>
      </c>
      <c r="H1031" t="n">
        <v>1</v>
      </c>
      <c r="I1031" t="n">
        <v>0</v>
      </c>
      <c r="J1031" t="n">
        <v>2</v>
      </c>
      <c r="K1031" t="n">
        <v>0</v>
      </c>
      <c r="L1031" t="n">
        <v>0</v>
      </c>
      <c r="M1031" t="n">
        <v>0</v>
      </c>
      <c r="N1031" t="n">
        <v>0</v>
      </c>
      <c r="O1031" t="n">
        <v>2</v>
      </c>
      <c r="P1031" t="n">
        <v>0</v>
      </c>
      <c r="Q1031" t="n">
        <v>2</v>
      </c>
      <c r="R1031" s="2" t="inlineStr">
        <is>
          <t>Garnlav
Tretåig hackspett</t>
        </is>
      </c>
      <c r="S1031">
        <f>HYPERLINK("https://klasma.github.io/Logging_2462/artfynd/A 32705-2024 artfynd.xlsx", "A 32705-2024")</f>
        <v/>
      </c>
      <c r="T1031">
        <f>HYPERLINK("https://klasma.github.io/Logging_2462/kartor/A 32705-2024 karta.png", "A 32705-2024")</f>
        <v/>
      </c>
      <c r="V1031">
        <f>HYPERLINK("https://klasma.github.io/Logging_2462/klagomål/A 32705-2024 FSC-klagomål.docx", "A 32705-2024")</f>
        <v/>
      </c>
      <c r="W1031">
        <f>HYPERLINK("https://klasma.github.io/Logging_2462/klagomålsmail/A 32705-2024 FSC-klagomål mail.docx", "A 32705-2024")</f>
        <v/>
      </c>
      <c r="X1031">
        <f>HYPERLINK("https://klasma.github.io/Logging_2462/tillsyn/A 32705-2024 tillsynsbegäran.docx", "A 32705-2024")</f>
        <v/>
      </c>
      <c r="Y1031">
        <f>HYPERLINK("https://klasma.github.io/Logging_2462/tillsynsmail/A 32705-2024 tillsynsbegäran mail.docx", "A 32705-2024")</f>
        <v/>
      </c>
      <c r="Z1031">
        <f>HYPERLINK("https://klasma.github.io/Logging_2462/fåglar/A 32705-2024 prioriterade fågelarter.docx", "A 32705-2024")</f>
        <v/>
      </c>
    </row>
    <row r="1032" ht="15" customHeight="1">
      <c r="A1032" t="inlineStr">
        <is>
          <t>A 33748-2024</t>
        </is>
      </c>
      <c r="B1032" s="1" t="n">
        <v>45520</v>
      </c>
      <c r="C1032" s="1" t="n">
        <v>45788</v>
      </c>
      <c r="D1032" t="inlineStr">
        <is>
          <t>VÄSTERBOTTENS LÄN</t>
        </is>
      </c>
      <c r="E1032" t="inlineStr">
        <is>
          <t>LYCKSELE</t>
        </is>
      </c>
      <c r="F1032" t="inlineStr">
        <is>
          <t>Sveaskog</t>
        </is>
      </c>
      <c r="G1032" t="n">
        <v>4.5</v>
      </c>
      <c r="H1032" t="n">
        <v>0</v>
      </c>
      <c r="I1032" t="n">
        <v>1</v>
      </c>
      <c r="J1032" t="n">
        <v>1</v>
      </c>
      <c r="K1032" t="n">
        <v>0</v>
      </c>
      <c r="L1032" t="n">
        <v>0</v>
      </c>
      <c r="M1032" t="n">
        <v>0</v>
      </c>
      <c r="N1032" t="n">
        <v>0</v>
      </c>
      <c r="O1032" t="n">
        <v>1</v>
      </c>
      <c r="P1032" t="n">
        <v>0</v>
      </c>
      <c r="Q1032" t="n">
        <v>2</v>
      </c>
      <c r="R1032" s="2" t="inlineStr">
        <is>
          <t>Blå taggsvamp
Skarp dropptaggsvamp</t>
        </is>
      </c>
      <c r="S1032">
        <f>HYPERLINK("https://klasma.github.io/Logging_2481/artfynd/A 33748-2024 artfynd.xlsx", "A 33748-2024")</f>
        <v/>
      </c>
      <c r="T1032">
        <f>HYPERLINK("https://klasma.github.io/Logging_2481/kartor/A 33748-2024 karta.png", "A 33748-2024")</f>
        <v/>
      </c>
      <c r="V1032">
        <f>HYPERLINK("https://klasma.github.io/Logging_2481/klagomål/A 33748-2024 FSC-klagomål.docx", "A 33748-2024")</f>
        <v/>
      </c>
      <c r="W1032">
        <f>HYPERLINK("https://klasma.github.io/Logging_2481/klagomålsmail/A 33748-2024 FSC-klagomål mail.docx", "A 33748-2024")</f>
        <v/>
      </c>
      <c r="X1032">
        <f>HYPERLINK("https://klasma.github.io/Logging_2481/tillsyn/A 33748-2024 tillsynsbegäran.docx", "A 33748-2024")</f>
        <v/>
      </c>
      <c r="Y1032">
        <f>HYPERLINK("https://klasma.github.io/Logging_2481/tillsynsmail/A 33748-2024 tillsynsbegäran mail.docx", "A 33748-2024")</f>
        <v/>
      </c>
    </row>
    <row r="1033" ht="15" customHeight="1">
      <c r="A1033" t="inlineStr">
        <is>
          <t>A 34050-2024</t>
        </is>
      </c>
      <c r="B1033" s="1" t="n">
        <v>45523</v>
      </c>
      <c r="C1033" s="1" t="n">
        <v>45788</v>
      </c>
      <c r="D1033" t="inlineStr">
        <is>
          <t>VÄSTERBOTTENS LÄN</t>
        </is>
      </c>
      <c r="E1033" t="inlineStr">
        <is>
          <t>UMEÅ</t>
        </is>
      </c>
      <c r="F1033" t="inlineStr">
        <is>
          <t>Holmen skog AB</t>
        </is>
      </c>
      <c r="G1033" t="n">
        <v>9.699999999999999</v>
      </c>
      <c r="H1033" t="n">
        <v>0</v>
      </c>
      <c r="I1033" t="n">
        <v>1</v>
      </c>
      <c r="J1033" t="n">
        <v>1</v>
      </c>
      <c r="K1033" t="n">
        <v>0</v>
      </c>
      <c r="L1033" t="n">
        <v>0</v>
      </c>
      <c r="M1033" t="n">
        <v>0</v>
      </c>
      <c r="N1033" t="n">
        <v>0</v>
      </c>
      <c r="O1033" t="n">
        <v>1</v>
      </c>
      <c r="P1033" t="n">
        <v>0</v>
      </c>
      <c r="Q1033" t="n">
        <v>2</v>
      </c>
      <c r="R1033" s="2" t="inlineStr">
        <is>
          <t>Gränsticka
Vedticka</t>
        </is>
      </c>
      <c r="S1033">
        <f>HYPERLINK("https://klasma.github.io/Logging_2480/artfynd/A 34050-2024 artfynd.xlsx", "A 34050-2024")</f>
        <v/>
      </c>
      <c r="T1033">
        <f>HYPERLINK("https://klasma.github.io/Logging_2480/kartor/A 34050-2024 karta.png", "A 34050-2024")</f>
        <v/>
      </c>
      <c r="V1033">
        <f>HYPERLINK("https://klasma.github.io/Logging_2480/klagomål/A 34050-2024 FSC-klagomål.docx", "A 34050-2024")</f>
        <v/>
      </c>
      <c r="W1033">
        <f>HYPERLINK("https://klasma.github.io/Logging_2480/klagomålsmail/A 34050-2024 FSC-klagomål mail.docx", "A 34050-2024")</f>
        <v/>
      </c>
      <c r="X1033">
        <f>HYPERLINK("https://klasma.github.io/Logging_2480/tillsyn/A 34050-2024 tillsynsbegäran.docx", "A 34050-2024")</f>
        <v/>
      </c>
      <c r="Y1033">
        <f>HYPERLINK("https://klasma.github.io/Logging_2480/tillsynsmail/A 34050-2024 tillsynsbegäran mail.docx", "A 34050-2024")</f>
        <v/>
      </c>
    </row>
    <row r="1034" ht="15" customHeight="1">
      <c r="A1034" t="inlineStr">
        <is>
          <t>A 34892-2024</t>
        </is>
      </c>
      <c r="B1034" s="1" t="n">
        <v>45527</v>
      </c>
      <c r="C1034" s="1" t="n">
        <v>45788</v>
      </c>
      <c r="D1034" t="inlineStr">
        <is>
          <t>VÄSTERBOTTENS LÄN</t>
        </is>
      </c>
      <c r="E1034" t="inlineStr">
        <is>
          <t>STORUMAN</t>
        </is>
      </c>
      <c r="F1034" t="inlineStr">
        <is>
          <t>SCA</t>
        </is>
      </c>
      <c r="G1034" t="n">
        <v>5.7</v>
      </c>
      <c r="H1034" t="n">
        <v>2</v>
      </c>
      <c r="I1034" t="n">
        <v>2</v>
      </c>
      <c r="J1034" t="n">
        <v>0</v>
      </c>
      <c r="K1034" t="n">
        <v>0</v>
      </c>
      <c r="L1034" t="n">
        <v>0</v>
      </c>
      <c r="M1034" t="n">
        <v>0</v>
      </c>
      <c r="N1034" t="n">
        <v>0</v>
      </c>
      <c r="O1034" t="n">
        <v>0</v>
      </c>
      <c r="P1034" t="n">
        <v>0</v>
      </c>
      <c r="Q1034" t="n">
        <v>2</v>
      </c>
      <c r="R1034" s="2" t="inlineStr">
        <is>
          <t>Plattlummer
Spindelblomster</t>
        </is>
      </c>
      <c r="S1034">
        <f>HYPERLINK("https://klasma.github.io/Logging_2421/artfynd/A 34892-2024 artfynd.xlsx", "A 34892-2024")</f>
        <v/>
      </c>
      <c r="T1034">
        <f>HYPERLINK("https://klasma.github.io/Logging_2421/kartor/A 34892-2024 karta.png", "A 34892-2024")</f>
        <v/>
      </c>
      <c r="U1034">
        <f>HYPERLINK("https://klasma.github.io/Logging_2421/knärot/A 34892-2024 karta knärot.png", "A 34892-2024")</f>
        <v/>
      </c>
      <c r="V1034">
        <f>HYPERLINK("https://klasma.github.io/Logging_2421/klagomål/A 34892-2024 FSC-klagomål.docx", "A 34892-2024")</f>
        <v/>
      </c>
      <c r="W1034">
        <f>HYPERLINK("https://klasma.github.io/Logging_2421/klagomålsmail/A 34892-2024 FSC-klagomål mail.docx", "A 34892-2024")</f>
        <v/>
      </c>
      <c r="X1034">
        <f>HYPERLINK("https://klasma.github.io/Logging_2421/tillsyn/A 34892-2024 tillsynsbegäran.docx", "A 34892-2024")</f>
        <v/>
      </c>
      <c r="Y1034">
        <f>HYPERLINK("https://klasma.github.io/Logging_2421/tillsynsmail/A 34892-2024 tillsynsbegäran mail.docx", "A 34892-2024")</f>
        <v/>
      </c>
    </row>
    <row r="1035" ht="15" customHeight="1">
      <c r="A1035" t="inlineStr">
        <is>
          <t>A 35030-2024</t>
        </is>
      </c>
      <c r="B1035" s="1" t="n">
        <v>45527</v>
      </c>
      <c r="C1035" s="1" t="n">
        <v>45788</v>
      </c>
      <c r="D1035" t="inlineStr">
        <is>
          <t>VÄSTERBOTTENS LÄN</t>
        </is>
      </c>
      <c r="E1035" t="inlineStr">
        <is>
          <t>VINDELN</t>
        </is>
      </c>
      <c r="F1035" t="inlineStr">
        <is>
          <t>Holmen skog AB</t>
        </is>
      </c>
      <c r="G1035" t="n">
        <v>17.9</v>
      </c>
      <c r="H1035" t="n">
        <v>0</v>
      </c>
      <c r="I1035" t="n">
        <v>2</v>
      </c>
      <c r="J1035" t="n">
        <v>0</v>
      </c>
      <c r="K1035" t="n">
        <v>0</v>
      </c>
      <c r="L1035" t="n">
        <v>0</v>
      </c>
      <c r="M1035" t="n">
        <v>0</v>
      </c>
      <c r="N1035" t="n">
        <v>0</v>
      </c>
      <c r="O1035" t="n">
        <v>0</v>
      </c>
      <c r="P1035" t="n">
        <v>0</v>
      </c>
      <c r="Q1035" t="n">
        <v>2</v>
      </c>
      <c r="R1035" s="2" t="inlineStr">
        <is>
          <t>Luddlav
Stuplav</t>
        </is>
      </c>
      <c r="S1035">
        <f>HYPERLINK("https://klasma.github.io/Logging_2404/artfynd/A 35030-2024 artfynd.xlsx", "A 35030-2024")</f>
        <v/>
      </c>
      <c r="T1035">
        <f>HYPERLINK("https://klasma.github.io/Logging_2404/kartor/A 35030-2024 karta.png", "A 35030-2024")</f>
        <v/>
      </c>
      <c r="V1035">
        <f>HYPERLINK("https://klasma.github.io/Logging_2404/klagomål/A 35030-2024 FSC-klagomål.docx", "A 35030-2024")</f>
        <v/>
      </c>
      <c r="W1035">
        <f>HYPERLINK("https://klasma.github.io/Logging_2404/klagomålsmail/A 35030-2024 FSC-klagomål mail.docx", "A 35030-2024")</f>
        <v/>
      </c>
      <c r="X1035">
        <f>HYPERLINK("https://klasma.github.io/Logging_2404/tillsyn/A 35030-2024 tillsynsbegäran.docx", "A 35030-2024")</f>
        <v/>
      </c>
      <c r="Y1035">
        <f>HYPERLINK("https://klasma.github.io/Logging_2404/tillsynsmail/A 35030-2024 tillsynsbegäran mail.docx", "A 35030-2024")</f>
        <v/>
      </c>
    </row>
    <row r="1036" ht="15" customHeight="1">
      <c r="A1036" t="inlineStr">
        <is>
          <t>A 35430-2024</t>
        </is>
      </c>
      <c r="B1036" s="1" t="n">
        <v>45531</v>
      </c>
      <c r="C1036" s="1" t="n">
        <v>45788</v>
      </c>
      <c r="D1036" t="inlineStr">
        <is>
          <t>VÄSTERBOTTENS LÄN</t>
        </is>
      </c>
      <c r="E1036" t="inlineStr">
        <is>
          <t>NORSJÖ</t>
        </is>
      </c>
      <c r="G1036" t="n">
        <v>6.1</v>
      </c>
      <c r="H1036" t="n">
        <v>2</v>
      </c>
      <c r="I1036" t="n">
        <v>0</v>
      </c>
      <c r="J1036" t="n">
        <v>0</v>
      </c>
      <c r="K1036" t="n">
        <v>0</v>
      </c>
      <c r="L1036" t="n">
        <v>0</v>
      </c>
      <c r="M1036" t="n">
        <v>0</v>
      </c>
      <c r="N1036" t="n">
        <v>0</v>
      </c>
      <c r="O1036" t="n">
        <v>0</v>
      </c>
      <c r="P1036" t="n">
        <v>0</v>
      </c>
      <c r="Q1036" t="n">
        <v>2</v>
      </c>
      <c r="R1036" s="2" t="inlineStr">
        <is>
          <t>Orre
Tjäder</t>
        </is>
      </c>
      <c r="S1036">
        <f>HYPERLINK("https://klasma.github.io/Logging_2417/artfynd/A 35430-2024 artfynd.xlsx", "A 35430-2024")</f>
        <v/>
      </c>
      <c r="T1036">
        <f>HYPERLINK("https://klasma.github.io/Logging_2417/kartor/A 35430-2024 karta.png", "A 35430-2024")</f>
        <v/>
      </c>
      <c r="V1036">
        <f>HYPERLINK("https://klasma.github.io/Logging_2417/klagomål/A 35430-2024 FSC-klagomål.docx", "A 35430-2024")</f>
        <v/>
      </c>
      <c r="W1036">
        <f>HYPERLINK("https://klasma.github.io/Logging_2417/klagomålsmail/A 35430-2024 FSC-klagomål mail.docx", "A 35430-2024")</f>
        <v/>
      </c>
      <c r="X1036">
        <f>HYPERLINK("https://klasma.github.io/Logging_2417/tillsyn/A 35430-2024 tillsynsbegäran.docx", "A 35430-2024")</f>
        <v/>
      </c>
      <c r="Y1036">
        <f>HYPERLINK("https://klasma.github.io/Logging_2417/tillsynsmail/A 35430-2024 tillsynsbegäran mail.docx", "A 35430-2024")</f>
        <v/>
      </c>
      <c r="Z1036">
        <f>HYPERLINK("https://klasma.github.io/Logging_2417/fåglar/A 35430-2024 prioriterade fågelarter.docx", "A 35430-2024")</f>
        <v/>
      </c>
    </row>
    <row r="1037" ht="15" customHeight="1">
      <c r="A1037" t="inlineStr">
        <is>
          <t>A 35612-2024</t>
        </is>
      </c>
      <c r="B1037" s="1" t="n">
        <v>45531</v>
      </c>
      <c r="C1037" s="1" t="n">
        <v>45788</v>
      </c>
      <c r="D1037" t="inlineStr">
        <is>
          <t>VÄSTERBOTTENS LÄN</t>
        </is>
      </c>
      <c r="E1037" t="inlineStr">
        <is>
          <t>UMEÅ</t>
        </is>
      </c>
      <c r="G1037" t="n">
        <v>5.5</v>
      </c>
      <c r="H1037" t="n">
        <v>0</v>
      </c>
      <c r="I1037" t="n">
        <v>2</v>
      </c>
      <c r="J1037" t="n">
        <v>0</v>
      </c>
      <c r="K1037" t="n">
        <v>0</v>
      </c>
      <c r="L1037" t="n">
        <v>0</v>
      </c>
      <c r="M1037" t="n">
        <v>0</v>
      </c>
      <c r="N1037" t="n">
        <v>0</v>
      </c>
      <c r="O1037" t="n">
        <v>0</v>
      </c>
      <c r="P1037" t="n">
        <v>0</v>
      </c>
      <c r="Q1037" t="n">
        <v>2</v>
      </c>
      <c r="R1037" s="2" t="inlineStr">
        <is>
          <t>Dropptaggsvamp
Vedticka</t>
        </is>
      </c>
      <c r="S1037">
        <f>HYPERLINK("https://klasma.github.io/Logging_2480/artfynd/A 35612-2024 artfynd.xlsx", "A 35612-2024")</f>
        <v/>
      </c>
      <c r="T1037">
        <f>HYPERLINK("https://klasma.github.io/Logging_2480/kartor/A 35612-2024 karta.png", "A 35612-2024")</f>
        <v/>
      </c>
      <c r="V1037">
        <f>HYPERLINK("https://klasma.github.io/Logging_2480/klagomål/A 35612-2024 FSC-klagomål.docx", "A 35612-2024")</f>
        <v/>
      </c>
      <c r="W1037">
        <f>HYPERLINK("https://klasma.github.io/Logging_2480/klagomålsmail/A 35612-2024 FSC-klagomål mail.docx", "A 35612-2024")</f>
        <v/>
      </c>
      <c r="X1037">
        <f>HYPERLINK("https://klasma.github.io/Logging_2480/tillsyn/A 35612-2024 tillsynsbegäran.docx", "A 35612-2024")</f>
        <v/>
      </c>
      <c r="Y1037">
        <f>HYPERLINK("https://klasma.github.io/Logging_2480/tillsynsmail/A 35612-2024 tillsynsbegäran mail.docx", "A 35612-2024")</f>
        <v/>
      </c>
    </row>
    <row r="1038" ht="15" customHeight="1">
      <c r="A1038" t="inlineStr">
        <is>
          <t>A 36338-2024</t>
        </is>
      </c>
      <c r="B1038" s="1" t="n">
        <v>45534</v>
      </c>
      <c r="C1038" s="1" t="n">
        <v>45788</v>
      </c>
      <c r="D1038" t="inlineStr">
        <is>
          <t>VÄSTERBOTTENS LÄN</t>
        </is>
      </c>
      <c r="E1038" t="inlineStr">
        <is>
          <t>SKELLEFTEÅ</t>
        </is>
      </c>
      <c r="F1038" t="inlineStr">
        <is>
          <t>SCA</t>
        </is>
      </c>
      <c r="G1038" t="n">
        <v>1.1</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HYPERLINK("https://klasma.github.io/Logging_2482/artfynd/A 36338-2024 artfynd.xlsx", "A 36338-2024")</f>
        <v/>
      </c>
      <c r="T1038">
        <f>HYPERLINK("https://klasma.github.io/Logging_2482/kartor/A 36338-2024 karta.png", "A 36338-2024")</f>
        <v/>
      </c>
      <c r="V1038">
        <f>HYPERLINK("https://klasma.github.io/Logging_2482/klagomål/A 36338-2024 FSC-klagomål.docx", "A 36338-2024")</f>
        <v/>
      </c>
      <c r="W1038">
        <f>HYPERLINK("https://klasma.github.io/Logging_2482/klagomålsmail/A 36338-2024 FSC-klagomål mail.docx", "A 36338-2024")</f>
        <v/>
      </c>
      <c r="X1038">
        <f>HYPERLINK("https://klasma.github.io/Logging_2482/tillsyn/A 36338-2024 tillsynsbegäran.docx", "A 36338-2024")</f>
        <v/>
      </c>
      <c r="Y1038">
        <f>HYPERLINK("https://klasma.github.io/Logging_2482/tillsynsmail/A 36338-2024 tillsynsbegäran mail.docx", "A 36338-2024")</f>
        <v/>
      </c>
    </row>
    <row r="1039" ht="15" customHeight="1">
      <c r="A1039" t="inlineStr">
        <is>
          <t>A 37548-2024</t>
        </is>
      </c>
      <c r="B1039" s="1" t="n">
        <v>45541</v>
      </c>
      <c r="C1039" s="1" t="n">
        <v>45788</v>
      </c>
      <c r="D1039" t="inlineStr">
        <is>
          <t>VÄSTERBOTTENS LÄN</t>
        </is>
      </c>
      <c r="E1039" t="inlineStr">
        <is>
          <t>LYCKSELE</t>
        </is>
      </c>
      <c r="F1039" t="inlineStr">
        <is>
          <t>Sveaskog</t>
        </is>
      </c>
      <c r="G1039" t="n">
        <v>13.5</v>
      </c>
      <c r="H1039" t="n">
        <v>0</v>
      </c>
      <c r="I1039" t="n">
        <v>1</v>
      </c>
      <c r="J1039" t="n">
        <v>1</v>
      </c>
      <c r="K1039" t="n">
        <v>0</v>
      </c>
      <c r="L1039" t="n">
        <v>0</v>
      </c>
      <c r="M1039" t="n">
        <v>0</v>
      </c>
      <c r="N1039" t="n">
        <v>0</v>
      </c>
      <c r="O1039" t="n">
        <v>1</v>
      </c>
      <c r="P1039" t="n">
        <v>0</v>
      </c>
      <c r="Q1039" t="n">
        <v>2</v>
      </c>
      <c r="R1039" s="2" t="inlineStr">
        <is>
          <t>Kolflarnlav
Skarp dropptaggsvamp</t>
        </is>
      </c>
      <c r="S1039">
        <f>HYPERLINK("https://klasma.github.io/Logging_2481/artfynd/A 37548-2024 artfynd.xlsx", "A 37548-2024")</f>
        <v/>
      </c>
      <c r="T1039">
        <f>HYPERLINK("https://klasma.github.io/Logging_2481/kartor/A 37548-2024 karta.png", "A 37548-2024")</f>
        <v/>
      </c>
      <c r="V1039">
        <f>HYPERLINK("https://klasma.github.io/Logging_2481/klagomål/A 37548-2024 FSC-klagomål.docx", "A 37548-2024")</f>
        <v/>
      </c>
      <c r="W1039">
        <f>HYPERLINK("https://klasma.github.io/Logging_2481/klagomålsmail/A 37548-2024 FSC-klagomål mail.docx", "A 37548-2024")</f>
        <v/>
      </c>
      <c r="X1039">
        <f>HYPERLINK("https://klasma.github.io/Logging_2481/tillsyn/A 37548-2024 tillsynsbegäran.docx", "A 37548-2024")</f>
        <v/>
      </c>
      <c r="Y1039">
        <f>HYPERLINK("https://klasma.github.io/Logging_2481/tillsynsmail/A 37548-2024 tillsynsbegäran mail.docx", "A 37548-2024")</f>
        <v/>
      </c>
    </row>
    <row r="1040" ht="15" customHeight="1">
      <c r="A1040" t="inlineStr">
        <is>
          <t>A 37513-2024</t>
        </is>
      </c>
      <c r="B1040" s="1" t="n">
        <v>45541</v>
      </c>
      <c r="C1040" s="1" t="n">
        <v>45788</v>
      </c>
      <c r="D1040" t="inlineStr">
        <is>
          <t>VÄSTERBOTTENS LÄN</t>
        </is>
      </c>
      <c r="E1040" t="inlineStr">
        <is>
          <t>VILHELMINA</t>
        </is>
      </c>
      <c r="F1040" t="inlineStr">
        <is>
          <t>SCA</t>
        </is>
      </c>
      <c r="G1040" t="n">
        <v>3.4</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HYPERLINK("https://klasma.github.io/Logging_2462/artfynd/A 37513-2024 artfynd.xlsx", "A 37513-2024")</f>
        <v/>
      </c>
      <c r="T1040">
        <f>HYPERLINK("https://klasma.github.io/Logging_2462/kartor/A 37513-2024 karta.png", "A 37513-2024")</f>
        <v/>
      </c>
      <c r="V1040">
        <f>HYPERLINK("https://klasma.github.io/Logging_2462/klagomål/A 37513-2024 FSC-klagomål.docx", "A 37513-2024")</f>
        <v/>
      </c>
      <c r="W1040">
        <f>HYPERLINK("https://klasma.github.io/Logging_2462/klagomålsmail/A 37513-2024 FSC-klagomål mail.docx", "A 37513-2024")</f>
        <v/>
      </c>
      <c r="X1040">
        <f>HYPERLINK("https://klasma.github.io/Logging_2462/tillsyn/A 37513-2024 tillsynsbegäran.docx", "A 37513-2024")</f>
        <v/>
      </c>
      <c r="Y1040">
        <f>HYPERLINK("https://klasma.github.io/Logging_2462/tillsynsmail/A 37513-2024 tillsynsbegäran mail.docx", "A 37513-2024")</f>
        <v/>
      </c>
    </row>
    <row r="1041" ht="15" customHeight="1">
      <c r="A1041" t="inlineStr">
        <is>
          <t>A 38052-2024</t>
        </is>
      </c>
      <c r="B1041" s="1" t="n">
        <v>45544</v>
      </c>
      <c r="C1041" s="1" t="n">
        <v>45788</v>
      </c>
      <c r="D1041" t="inlineStr">
        <is>
          <t>VÄSTERBOTTENS LÄN</t>
        </is>
      </c>
      <c r="E1041" t="inlineStr">
        <is>
          <t>NORSJÖ</t>
        </is>
      </c>
      <c r="F1041" t="inlineStr">
        <is>
          <t>Holmen skog AB</t>
        </is>
      </c>
      <c r="G1041" t="n">
        <v>3.4</v>
      </c>
      <c r="H1041" t="n">
        <v>1</v>
      </c>
      <c r="I1041" t="n">
        <v>0</v>
      </c>
      <c r="J1041" t="n">
        <v>1</v>
      </c>
      <c r="K1041" t="n">
        <v>0</v>
      </c>
      <c r="L1041" t="n">
        <v>0</v>
      </c>
      <c r="M1041" t="n">
        <v>0</v>
      </c>
      <c r="N1041" t="n">
        <v>0</v>
      </c>
      <c r="O1041" t="n">
        <v>1</v>
      </c>
      <c r="P1041" t="n">
        <v>0</v>
      </c>
      <c r="Q1041" t="n">
        <v>2</v>
      </c>
      <c r="R1041" s="2" t="inlineStr">
        <is>
          <t>Garnlav
Fläcknycklar</t>
        </is>
      </c>
      <c r="S1041">
        <f>HYPERLINK("https://klasma.github.io/Logging_2417/artfynd/A 38052-2024 artfynd.xlsx", "A 38052-2024")</f>
        <v/>
      </c>
      <c r="T1041">
        <f>HYPERLINK("https://klasma.github.io/Logging_2417/kartor/A 38052-2024 karta.png", "A 38052-2024")</f>
        <v/>
      </c>
      <c r="V1041">
        <f>HYPERLINK("https://klasma.github.io/Logging_2417/klagomål/A 38052-2024 FSC-klagomål.docx", "A 38052-2024")</f>
        <v/>
      </c>
      <c r="W1041">
        <f>HYPERLINK("https://klasma.github.io/Logging_2417/klagomålsmail/A 38052-2024 FSC-klagomål mail.docx", "A 38052-2024")</f>
        <v/>
      </c>
      <c r="X1041">
        <f>HYPERLINK("https://klasma.github.io/Logging_2417/tillsyn/A 38052-2024 tillsynsbegäran.docx", "A 38052-2024")</f>
        <v/>
      </c>
      <c r="Y1041">
        <f>HYPERLINK("https://klasma.github.io/Logging_2417/tillsynsmail/A 38052-2024 tillsynsbegäran mail.docx", "A 38052-2024")</f>
        <v/>
      </c>
    </row>
    <row r="1042" ht="15" customHeight="1">
      <c r="A1042" t="inlineStr">
        <is>
          <t>A 38207-2024</t>
        </is>
      </c>
      <c r="B1042" s="1" t="n">
        <v>45545</v>
      </c>
      <c r="C1042" s="1" t="n">
        <v>45788</v>
      </c>
      <c r="D1042" t="inlineStr">
        <is>
          <t>VÄSTERBOTTENS LÄN</t>
        </is>
      </c>
      <c r="E1042" t="inlineStr">
        <is>
          <t>VILHELMINA</t>
        </is>
      </c>
      <c r="F1042" t="inlineStr">
        <is>
          <t>Sveaskog</t>
        </is>
      </c>
      <c r="G1042" t="n">
        <v>4</v>
      </c>
      <c r="H1042" t="n">
        <v>0</v>
      </c>
      <c r="I1042" t="n">
        <v>0</v>
      </c>
      <c r="J1042" t="n">
        <v>2</v>
      </c>
      <c r="K1042" t="n">
        <v>0</v>
      </c>
      <c r="L1042" t="n">
        <v>0</v>
      </c>
      <c r="M1042" t="n">
        <v>0</v>
      </c>
      <c r="N1042" t="n">
        <v>0</v>
      </c>
      <c r="O1042" t="n">
        <v>2</v>
      </c>
      <c r="P1042" t="n">
        <v>0</v>
      </c>
      <c r="Q1042" t="n">
        <v>2</v>
      </c>
      <c r="R1042" s="2" t="inlineStr">
        <is>
          <t>Garnlav
Gränsticka</t>
        </is>
      </c>
      <c r="S1042">
        <f>HYPERLINK("https://klasma.github.io/Logging_2462/artfynd/A 38207-2024 artfynd.xlsx", "A 38207-2024")</f>
        <v/>
      </c>
      <c r="T1042">
        <f>HYPERLINK("https://klasma.github.io/Logging_2462/kartor/A 38207-2024 karta.png", "A 38207-2024")</f>
        <v/>
      </c>
      <c r="V1042">
        <f>HYPERLINK("https://klasma.github.io/Logging_2462/klagomål/A 38207-2024 FSC-klagomål.docx", "A 38207-2024")</f>
        <v/>
      </c>
      <c r="W1042">
        <f>HYPERLINK("https://klasma.github.io/Logging_2462/klagomålsmail/A 38207-2024 FSC-klagomål mail.docx", "A 38207-2024")</f>
        <v/>
      </c>
      <c r="X1042">
        <f>HYPERLINK("https://klasma.github.io/Logging_2462/tillsyn/A 38207-2024 tillsynsbegäran.docx", "A 38207-2024")</f>
        <v/>
      </c>
      <c r="Y1042">
        <f>HYPERLINK("https://klasma.github.io/Logging_2462/tillsynsmail/A 38207-2024 tillsynsbegäran mail.docx", "A 38207-2024")</f>
        <v/>
      </c>
    </row>
    <row r="1043" ht="15" customHeight="1">
      <c r="A1043" t="inlineStr">
        <is>
          <t>A 40718-2024</t>
        </is>
      </c>
      <c r="B1043" s="1" t="n">
        <v>45558</v>
      </c>
      <c r="C1043" s="1" t="n">
        <v>45788</v>
      </c>
      <c r="D1043" t="inlineStr">
        <is>
          <t>VÄSTERBOTTENS LÄN</t>
        </is>
      </c>
      <c r="E1043" t="inlineStr">
        <is>
          <t>VILHELMINA</t>
        </is>
      </c>
      <c r="F1043" t="inlineStr">
        <is>
          <t>Allmännings- och besparingsskogar</t>
        </is>
      </c>
      <c r="G1043" t="n">
        <v>2.8</v>
      </c>
      <c r="H1043" t="n">
        <v>1</v>
      </c>
      <c r="I1043" t="n">
        <v>0</v>
      </c>
      <c r="J1043" t="n">
        <v>2</v>
      </c>
      <c r="K1043" t="n">
        <v>0</v>
      </c>
      <c r="L1043" t="n">
        <v>0</v>
      </c>
      <c r="M1043" t="n">
        <v>0</v>
      </c>
      <c r="N1043" t="n">
        <v>0</v>
      </c>
      <c r="O1043" t="n">
        <v>2</v>
      </c>
      <c r="P1043" t="n">
        <v>0</v>
      </c>
      <c r="Q1043" t="n">
        <v>2</v>
      </c>
      <c r="R1043" s="2" t="inlineStr">
        <is>
          <t>Garnlav
Järpe</t>
        </is>
      </c>
      <c r="S1043">
        <f>HYPERLINK("https://klasma.github.io/Logging_2462/artfynd/A 40718-2024 artfynd.xlsx", "A 40718-2024")</f>
        <v/>
      </c>
      <c r="T1043">
        <f>HYPERLINK("https://klasma.github.io/Logging_2462/kartor/A 40718-2024 karta.png", "A 40718-2024")</f>
        <v/>
      </c>
      <c r="V1043">
        <f>HYPERLINK("https://klasma.github.io/Logging_2462/klagomål/A 40718-2024 FSC-klagomål.docx", "A 40718-2024")</f>
        <v/>
      </c>
      <c r="W1043">
        <f>HYPERLINK("https://klasma.github.io/Logging_2462/klagomålsmail/A 40718-2024 FSC-klagomål mail.docx", "A 40718-2024")</f>
        <v/>
      </c>
      <c r="X1043">
        <f>HYPERLINK("https://klasma.github.io/Logging_2462/tillsyn/A 40718-2024 tillsynsbegäran.docx", "A 40718-2024")</f>
        <v/>
      </c>
      <c r="Y1043">
        <f>HYPERLINK("https://klasma.github.io/Logging_2462/tillsynsmail/A 40718-2024 tillsynsbegäran mail.docx", "A 40718-2024")</f>
        <v/>
      </c>
      <c r="Z1043">
        <f>HYPERLINK("https://klasma.github.io/Logging_2462/fåglar/A 40718-2024 prioriterade fågelarter.docx", "A 40718-2024")</f>
        <v/>
      </c>
    </row>
    <row r="1044" ht="15" customHeight="1">
      <c r="A1044" t="inlineStr">
        <is>
          <t>A 41223-2024</t>
        </is>
      </c>
      <c r="B1044" s="1" t="n">
        <v>45559</v>
      </c>
      <c r="C1044" s="1" t="n">
        <v>45788</v>
      </c>
      <c r="D1044" t="inlineStr">
        <is>
          <t>VÄSTERBOTTENS LÄN</t>
        </is>
      </c>
      <c r="E1044" t="inlineStr">
        <is>
          <t>LYCKSELE</t>
        </is>
      </c>
      <c r="F1044" t="inlineStr">
        <is>
          <t>Sveaskog</t>
        </is>
      </c>
      <c r="G1044" t="n">
        <v>5.4</v>
      </c>
      <c r="H1044" t="n">
        <v>0</v>
      </c>
      <c r="I1044" t="n">
        <v>0</v>
      </c>
      <c r="J1044" t="n">
        <v>2</v>
      </c>
      <c r="K1044" t="n">
        <v>0</v>
      </c>
      <c r="L1044" t="n">
        <v>0</v>
      </c>
      <c r="M1044" t="n">
        <v>0</v>
      </c>
      <c r="N1044" t="n">
        <v>0</v>
      </c>
      <c r="O1044" t="n">
        <v>2</v>
      </c>
      <c r="P1044" t="n">
        <v>0</v>
      </c>
      <c r="Q1044" t="n">
        <v>2</v>
      </c>
      <c r="R1044" s="2" t="inlineStr">
        <is>
          <t>Garnlav
Violettgrå tagellav</t>
        </is>
      </c>
      <c r="S1044">
        <f>HYPERLINK("https://klasma.github.io/Logging_2481/artfynd/A 41223-2024 artfynd.xlsx", "A 41223-2024")</f>
        <v/>
      </c>
      <c r="T1044">
        <f>HYPERLINK("https://klasma.github.io/Logging_2481/kartor/A 41223-2024 karta.png", "A 41223-2024")</f>
        <v/>
      </c>
      <c r="V1044">
        <f>HYPERLINK("https://klasma.github.io/Logging_2481/klagomål/A 41223-2024 FSC-klagomål.docx", "A 41223-2024")</f>
        <v/>
      </c>
      <c r="W1044">
        <f>HYPERLINK("https://klasma.github.io/Logging_2481/klagomålsmail/A 41223-2024 FSC-klagomål mail.docx", "A 41223-2024")</f>
        <v/>
      </c>
      <c r="X1044">
        <f>HYPERLINK("https://klasma.github.io/Logging_2481/tillsyn/A 41223-2024 tillsynsbegäran.docx", "A 41223-2024")</f>
        <v/>
      </c>
      <c r="Y1044">
        <f>HYPERLINK("https://klasma.github.io/Logging_2481/tillsynsmail/A 41223-2024 tillsynsbegäran mail.docx", "A 41223-2024")</f>
        <v/>
      </c>
    </row>
    <row r="1045" ht="15" customHeight="1">
      <c r="A1045" t="inlineStr">
        <is>
          <t>A 41077-2024</t>
        </is>
      </c>
      <c r="B1045" s="1" t="n">
        <v>45559</v>
      </c>
      <c r="C1045" s="1" t="n">
        <v>45788</v>
      </c>
      <c r="D1045" t="inlineStr">
        <is>
          <t>VÄSTERBOTTENS LÄN</t>
        </is>
      </c>
      <c r="E1045" t="inlineStr">
        <is>
          <t>UMEÅ</t>
        </is>
      </c>
      <c r="F1045" t="inlineStr">
        <is>
          <t>Sveaskog</t>
        </is>
      </c>
      <c r="G1045" t="n">
        <v>12.2</v>
      </c>
      <c r="H1045" t="n">
        <v>0</v>
      </c>
      <c r="I1045" t="n">
        <v>1</v>
      </c>
      <c r="J1045" t="n">
        <v>1</v>
      </c>
      <c r="K1045" t="n">
        <v>0</v>
      </c>
      <c r="L1045" t="n">
        <v>0</v>
      </c>
      <c r="M1045" t="n">
        <v>0</v>
      </c>
      <c r="N1045" t="n">
        <v>0</v>
      </c>
      <c r="O1045" t="n">
        <v>1</v>
      </c>
      <c r="P1045" t="n">
        <v>0</v>
      </c>
      <c r="Q1045" t="n">
        <v>2</v>
      </c>
      <c r="R1045" s="2" t="inlineStr">
        <is>
          <t>Blå taggsvamp
Dropptaggsvamp</t>
        </is>
      </c>
      <c r="S1045">
        <f>HYPERLINK("https://klasma.github.io/Logging_2480/artfynd/A 41077-2024 artfynd.xlsx", "A 41077-2024")</f>
        <v/>
      </c>
      <c r="T1045">
        <f>HYPERLINK("https://klasma.github.io/Logging_2480/kartor/A 41077-2024 karta.png", "A 41077-2024")</f>
        <v/>
      </c>
      <c r="V1045">
        <f>HYPERLINK("https://klasma.github.io/Logging_2480/klagomål/A 41077-2024 FSC-klagomål.docx", "A 41077-2024")</f>
        <v/>
      </c>
      <c r="W1045">
        <f>HYPERLINK("https://klasma.github.io/Logging_2480/klagomålsmail/A 41077-2024 FSC-klagomål mail.docx", "A 41077-2024")</f>
        <v/>
      </c>
      <c r="X1045">
        <f>HYPERLINK("https://klasma.github.io/Logging_2480/tillsyn/A 41077-2024 tillsynsbegäran.docx", "A 41077-2024")</f>
        <v/>
      </c>
      <c r="Y1045">
        <f>HYPERLINK("https://klasma.github.io/Logging_2480/tillsynsmail/A 41077-2024 tillsynsbegäran mail.docx", "A 41077-2024")</f>
        <v/>
      </c>
    </row>
    <row r="1046" ht="15" customHeight="1">
      <c r="A1046" t="inlineStr">
        <is>
          <t>A 41471-2024</t>
        </is>
      </c>
      <c r="B1046" s="1" t="n">
        <v>45560</v>
      </c>
      <c r="C1046" s="1" t="n">
        <v>45788</v>
      </c>
      <c r="D1046" t="inlineStr">
        <is>
          <t>VÄSTERBOTTENS LÄN</t>
        </is>
      </c>
      <c r="E1046" t="inlineStr">
        <is>
          <t>LYCKSELE</t>
        </is>
      </c>
      <c r="F1046" t="inlineStr">
        <is>
          <t>Sveaskog</t>
        </is>
      </c>
      <c r="G1046" t="n">
        <v>24.5</v>
      </c>
      <c r="H1046" t="n">
        <v>0</v>
      </c>
      <c r="I1046" t="n">
        <v>0</v>
      </c>
      <c r="J1046" t="n">
        <v>2</v>
      </c>
      <c r="K1046" t="n">
        <v>0</v>
      </c>
      <c r="L1046" t="n">
        <v>0</v>
      </c>
      <c r="M1046" t="n">
        <v>0</v>
      </c>
      <c r="N1046" t="n">
        <v>0</v>
      </c>
      <c r="O1046" t="n">
        <v>2</v>
      </c>
      <c r="P1046" t="n">
        <v>0</v>
      </c>
      <c r="Q1046" t="n">
        <v>2</v>
      </c>
      <c r="R1046" s="2" t="inlineStr">
        <is>
          <t>Blå taggsvamp
Orange taggsvamp</t>
        </is>
      </c>
      <c r="S1046">
        <f>HYPERLINK("https://klasma.github.io/Logging_2481/artfynd/A 41471-2024 artfynd.xlsx", "A 41471-2024")</f>
        <v/>
      </c>
      <c r="T1046">
        <f>HYPERLINK("https://klasma.github.io/Logging_2481/kartor/A 41471-2024 karta.png", "A 41471-2024")</f>
        <v/>
      </c>
      <c r="V1046">
        <f>HYPERLINK("https://klasma.github.io/Logging_2481/klagomål/A 41471-2024 FSC-klagomål.docx", "A 41471-2024")</f>
        <v/>
      </c>
      <c r="W1046">
        <f>HYPERLINK("https://klasma.github.io/Logging_2481/klagomålsmail/A 41471-2024 FSC-klagomål mail.docx", "A 41471-2024")</f>
        <v/>
      </c>
      <c r="X1046">
        <f>HYPERLINK("https://klasma.github.io/Logging_2481/tillsyn/A 41471-2024 tillsynsbegäran.docx", "A 41471-2024")</f>
        <v/>
      </c>
      <c r="Y1046">
        <f>HYPERLINK("https://klasma.github.io/Logging_2481/tillsynsmail/A 41471-2024 tillsynsbegäran mail.docx", "A 41471-2024")</f>
        <v/>
      </c>
    </row>
    <row r="1047" ht="15" customHeight="1">
      <c r="A1047" t="inlineStr">
        <is>
          <t>A 41723-2024</t>
        </is>
      </c>
      <c r="B1047" s="1" t="n">
        <v>45560</v>
      </c>
      <c r="C1047" s="1" t="n">
        <v>45788</v>
      </c>
      <c r="D1047" t="inlineStr">
        <is>
          <t>VÄSTERBOTTENS LÄN</t>
        </is>
      </c>
      <c r="E1047" t="inlineStr">
        <is>
          <t>ROBERTSFORS</t>
        </is>
      </c>
      <c r="G1047" t="n">
        <v>2.4</v>
      </c>
      <c r="H1047" t="n">
        <v>2</v>
      </c>
      <c r="I1047" t="n">
        <v>0</v>
      </c>
      <c r="J1047" t="n">
        <v>2</v>
      </c>
      <c r="K1047" t="n">
        <v>0</v>
      </c>
      <c r="L1047" t="n">
        <v>0</v>
      </c>
      <c r="M1047" t="n">
        <v>0</v>
      </c>
      <c r="N1047" t="n">
        <v>0</v>
      </c>
      <c r="O1047" t="n">
        <v>2</v>
      </c>
      <c r="P1047" t="n">
        <v>0</v>
      </c>
      <c r="Q1047" t="n">
        <v>2</v>
      </c>
      <c r="R1047" s="2" t="inlineStr">
        <is>
          <t>Spillkråka
Tretåig hackspett</t>
        </is>
      </c>
      <c r="S1047">
        <f>HYPERLINK("https://klasma.github.io/Logging_2409/artfynd/A 41723-2024 artfynd.xlsx", "A 41723-2024")</f>
        <v/>
      </c>
      <c r="T1047">
        <f>HYPERLINK("https://klasma.github.io/Logging_2409/kartor/A 41723-2024 karta.png", "A 41723-2024")</f>
        <v/>
      </c>
      <c r="V1047">
        <f>HYPERLINK("https://klasma.github.io/Logging_2409/klagomål/A 41723-2024 FSC-klagomål.docx", "A 41723-2024")</f>
        <v/>
      </c>
      <c r="W1047">
        <f>HYPERLINK("https://klasma.github.io/Logging_2409/klagomålsmail/A 41723-2024 FSC-klagomål mail.docx", "A 41723-2024")</f>
        <v/>
      </c>
      <c r="X1047">
        <f>HYPERLINK("https://klasma.github.io/Logging_2409/tillsyn/A 41723-2024 tillsynsbegäran.docx", "A 41723-2024")</f>
        <v/>
      </c>
      <c r="Y1047">
        <f>HYPERLINK("https://klasma.github.io/Logging_2409/tillsynsmail/A 41723-2024 tillsynsbegäran mail.docx", "A 41723-2024")</f>
        <v/>
      </c>
      <c r="Z1047">
        <f>HYPERLINK("https://klasma.github.io/Logging_2409/fåglar/A 41723-2024 prioriterade fågelarter.docx", "A 41723-2024")</f>
        <v/>
      </c>
    </row>
    <row r="1048" ht="15" customHeight="1">
      <c r="A1048" t="inlineStr">
        <is>
          <t>A 41645-2024</t>
        </is>
      </c>
      <c r="B1048" s="1" t="n">
        <v>45560</v>
      </c>
      <c r="C1048" s="1" t="n">
        <v>45788</v>
      </c>
      <c r="D1048" t="inlineStr">
        <is>
          <t>VÄSTERBOTTENS LÄN</t>
        </is>
      </c>
      <c r="E1048" t="inlineStr">
        <is>
          <t>VILHELMINA</t>
        </is>
      </c>
      <c r="F1048" t="inlineStr">
        <is>
          <t>SCA</t>
        </is>
      </c>
      <c r="G1048" t="n">
        <v>10.4</v>
      </c>
      <c r="H1048" t="n">
        <v>1</v>
      </c>
      <c r="I1048" t="n">
        <v>1</v>
      </c>
      <c r="J1048" t="n">
        <v>1</v>
      </c>
      <c r="K1048" t="n">
        <v>0</v>
      </c>
      <c r="L1048" t="n">
        <v>0</v>
      </c>
      <c r="M1048" t="n">
        <v>0</v>
      </c>
      <c r="N1048" t="n">
        <v>0</v>
      </c>
      <c r="O1048" t="n">
        <v>1</v>
      </c>
      <c r="P1048" t="n">
        <v>0</v>
      </c>
      <c r="Q1048" t="n">
        <v>2</v>
      </c>
      <c r="R1048" s="2" t="inlineStr">
        <is>
          <t>Gammelgransskål
Lappranunkel</t>
        </is>
      </c>
      <c r="S1048">
        <f>HYPERLINK("https://klasma.github.io/Logging_2462/artfynd/A 41645-2024 artfynd.xlsx", "A 41645-2024")</f>
        <v/>
      </c>
      <c r="T1048">
        <f>HYPERLINK("https://klasma.github.io/Logging_2462/kartor/A 41645-2024 karta.png", "A 41645-2024")</f>
        <v/>
      </c>
      <c r="V1048">
        <f>HYPERLINK("https://klasma.github.io/Logging_2462/klagomål/A 41645-2024 FSC-klagomål.docx", "A 41645-2024")</f>
        <v/>
      </c>
      <c r="W1048">
        <f>HYPERLINK("https://klasma.github.io/Logging_2462/klagomålsmail/A 41645-2024 FSC-klagomål mail.docx", "A 41645-2024")</f>
        <v/>
      </c>
      <c r="X1048">
        <f>HYPERLINK("https://klasma.github.io/Logging_2462/tillsyn/A 41645-2024 tillsynsbegäran.docx", "A 41645-2024")</f>
        <v/>
      </c>
      <c r="Y1048">
        <f>HYPERLINK("https://klasma.github.io/Logging_2462/tillsynsmail/A 41645-2024 tillsynsbegäran mail.docx", "A 41645-2024")</f>
        <v/>
      </c>
    </row>
    <row r="1049" ht="15" customHeight="1">
      <c r="A1049" t="inlineStr">
        <is>
          <t>A 43154-2024</t>
        </is>
      </c>
      <c r="B1049" s="1" t="n">
        <v>45567</v>
      </c>
      <c r="C1049" s="1" t="n">
        <v>45788</v>
      </c>
      <c r="D1049" t="inlineStr">
        <is>
          <t>VÄSTERBOTTENS LÄN</t>
        </is>
      </c>
      <c r="E1049" t="inlineStr">
        <is>
          <t>LYCKSELE</t>
        </is>
      </c>
      <c r="F1049" t="inlineStr">
        <is>
          <t>Sveaskog</t>
        </is>
      </c>
      <c r="G1049" t="n">
        <v>8.199999999999999</v>
      </c>
      <c r="H1049" t="n">
        <v>0</v>
      </c>
      <c r="I1049" t="n">
        <v>1</v>
      </c>
      <c r="J1049" t="n">
        <v>1</v>
      </c>
      <c r="K1049" t="n">
        <v>0</v>
      </c>
      <c r="L1049" t="n">
        <v>0</v>
      </c>
      <c r="M1049" t="n">
        <v>0</v>
      </c>
      <c r="N1049" t="n">
        <v>0</v>
      </c>
      <c r="O1049" t="n">
        <v>1</v>
      </c>
      <c r="P1049" t="n">
        <v>0</v>
      </c>
      <c r="Q1049" t="n">
        <v>2</v>
      </c>
      <c r="R1049" s="2" t="inlineStr">
        <is>
          <t>Blanksvart spiklav
Dropptaggsvamp</t>
        </is>
      </c>
      <c r="S1049">
        <f>HYPERLINK("https://klasma.github.io/Logging_2481/artfynd/A 43154-2024 artfynd.xlsx", "A 43154-2024")</f>
        <v/>
      </c>
      <c r="T1049">
        <f>HYPERLINK("https://klasma.github.io/Logging_2481/kartor/A 43154-2024 karta.png", "A 43154-2024")</f>
        <v/>
      </c>
      <c r="V1049">
        <f>HYPERLINK("https://klasma.github.io/Logging_2481/klagomål/A 43154-2024 FSC-klagomål.docx", "A 43154-2024")</f>
        <v/>
      </c>
      <c r="W1049">
        <f>HYPERLINK("https://klasma.github.io/Logging_2481/klagomålsmail/A 43154-2024 FSC-klagomål mail.docx", "A 43154-2024")</f>
        <v/>
      </c>
      <c r="X1049">
        <f>HYPERLINK("https://klasma.github.io/Logging_2481/tillsyn/A 43154-2024 tillsynsbegäran.docx", "A 43154-2024")</f>
        <v/>
      </c>
      <c r="Y1049">
        <f>HYPERLINK("https://klasma.github.io/Logging_2481/tillsynsmail/A 43154-2024 tillsynsbegäran mail.docx", "A 43154-2024")</f>
        <v/>
      </c>
    </row>
    <row r="1050" ht="15" customHeight="1">
      <c r="A1050" t="inlineStr">
        <is>
          <t>A 43743-2024</t>
        </is>
      </c>
      <c r="B1050" s="1" t="n">
        <v>45569</v>
      </c>
      <c r="C1050" s="1" t="n">
        <v>45788</v>
      </c>
      <c r="D1050" t="inlineStr">
        <is>
          <t>VÄSTERBOTTENS LÄN</t>
        </is>
      </c>
      <c r="E1050" t="inlineStr">
        <is>
          <t>SKELLEFTEÅ</t>
        </is>
      </c>
      <c r="G1050" t="n">
        <v>2.6</v>
      </c>
      <c r="H1050" t="n">
        <v>1</v>
      </c>
      <c r="I1050" t="n">
        <v>1</v>
      </c>
      <c r="J1050" t="n">
        <v>0</v>
      </c>
      <c r="K1050" t="n">
        <v>0</v>
      </c>
      <c r="L1050" t="n">
        <v>0</v>
      </c>
      <c r="M1050" t="n">
        <v>0</v>
      </c>
      <c r="N1050" t="n">
        <v>0</v>
      </c>
      <c r="O1050" t="n">
        <v>0</v>
      </c>
      <c r="P1050" t="n">
        <v>0</v>
      </c>
      <c r="Q1050" t="n">
        <v>2</v>
      </c>
      <c r="R1050" s="2" t="inlineStr">
        <is>
          <t>Stuplav
Fläcknycklar</t>
        </is>
      </c>
      <c r="S1050">
        <f>HYPERLINK("https://klasma.github.io/Logging_2482/artfynd/A 43743-2024 artfynd.xlsx", "A 43743-2024")</f>
        <v/>
      </c>
      <c r="T1050">
        <f>HYPERLINK("https://klasma.github.io/Logging_2482/kartor/A 43743-2024 karta.png", "A 43743-2024")</f>
        <v/>
      </c>
      <c r="V1050">
        <f>HYPERLINK("https://klasma.github.io/Logging_2482/klagomål/A 43743-2024 FSC-klagomål.docx", "A 43743-2024")</f>
        <v/>
      </c>
      <c r="W1050">
        <f>HYPERLINK("https://klasma.github.io/Logging_2482/klagomålsmail/A 43743-2024 FSC-klagomål mail.docx", "A 43743-2024")</f>
        <v/>
      </c>
      <c r="X1050">
        <f>HYPERLINK("https://klasma.github.io/Logging_2482/tillsyn/A 43743-2024 tillsynsbegäran.docx", "A 43743-2024")</f>
        <v/>
      </c>
      <c r="Y1050">
        <f>HYPERLINK("https://klasma.github.io/Logging_2482/tillsynsmail/A 43743-2024 tillsynsbegäran mail.docx", "A 43743-2024")</f>
        <v/>
      </c>
    </row>
    <row r="1051" ht="15" customHeight="1">
      <c r="A1051" t="inlineStr">
        <is>
          <t>A 43905-2024</t>
        </is>
      </c>
      <c r="B1051" s="1" t="n">
        <v>45572</v>
      </c>
      <c r="C1051" s="1" t="n">
        <v>45788</v>
      </c>
      <c r="D1051" t="inlineStr">
        <is>
          <t>VÄSTERBOTTENS LÄN</t>
        </is>
      </c>
      <c r="E1051" t="inlineStr">
        <is>
          <t>LYCKSELE</t>
        </is>
      </c>
      <c r="F1051" t="inlineStr">
        <is>
          <t>Sveaskog</t>
        </is>
      </c>
      <c r="G1051" t="n">
        <v>9.199999999999999</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HYPERLINK("https://klasma.github.io/Logging_2481/artfynd/A 43905-2024 artfynd.xlsx", "A 43905-2024")</f>
        <v/>
      </c>
      <c r="T1051">
        <f>HYPERLINK("https://klasma.github.io/Logging_2481/kartor/A 43905-2024 karta.png", "A 43905-2024")</f>
        <v/>
      </c>
      <c r="V1051">
        <f>HYPERLINK("https://klasma.github.io/Logging_2481/klagomål/A 43905-2024 FSC-klagomål.docx", "A 43905-2024")</f>
        <v/>
      </c>
      <c r="W1051">
        <f>HYPERLINK("https://klasma.github.io/Logging_2481/klagomålsmail/A 43905-2024 FSC-klagomål mail.docx", "A 43905-2024")</f>
        <v/>
      </c>
      <c r="X1051">
        <f>HYPERLINK("https://klasma.github.io/Logging_2481/tillsyn/A 43905-2024 tillsynsbegäran.docx", "A 43905-2024")</f>
        <v/>
      </c>
      <c r="Y1051">
        <f>HYPERLINK("https://klasma.github.io/Logging_2481/tillsynsmail/A 43905-2024 tillsynsbegäran mail.docx", "A 43905-2024")</f>
        <v/>
      </c>
    </row>
    <row r="1052" ht="15" customHeight="1">
      <c r="A1052" t="inlineStr">
        <is>
          <t>A 44230-2024</t>
        </is>
      </c>
      <c r="B1052" s="1" t="n">
        <v>45573</v>
      </c>
      <c r="C1052" s="1" t="n">
        <v>45788</v>
      </c>
      <c r="D1052" t="inlineStr">
        <is>
          <t>VÄSTERBOTTENS LÄN</t>
        </is>
      </c>
      <c r="E1052" t="inlineStr">
        <is>
          <t>LYCKSELE</t>
        </is>
      </c>
      <c r="F1052" t="inlineStr">
        <is>
          <t>Sveaskog</t>
        </is>
      </c>
      <c r="G1052" t="n">
        <v>19.8</v>
      </c>
      <c r="H1052" t="n">
        <v>0</v>
      </c>
      <c r="I1052" t="n">
        <v>0</v>
      </c>
      <c r="J1052" t="n">
        <v>2</v>
      </c>
      <c r="K1052" t="n">
        <v>0</v>
      </c>
      <c r="L1052" t="n">
        <v>0</v>
      </c>
      <c r="M1052" t="n">
        <v>0</v>
      </c>
      <c r="N1052" t="n">
        <v>0</v>
      </c>
      <c r="O1052" t="n">
        <v>2</v>
      </c>
      <c r="P1052" t="n">
        <v>0</v>
      </c>
      <c r="Q1052" t="n">
        <v>2</v>
      </c>
      <c r="R1052" s="2" t="inlineStr">
        <is>
          <t>Kolflarnlav
Mörk kolflarnlav</t>
        </is>
      </c>
      <c r="S1052">
        <f>HYPERLINK("https://klasma.github.io/Logging_2481/artfynd/A 44230-2024 artfynd.xlsx", "A 44230-2024")</f>
        <v/>
      </c>
      <c r="T1052">
        <f>HYPERLINK("https://klasma.github.io/Logging_2481/kartor/A 44230-2024 karta.png", "A 44230-2024")</f>
        <v/>
      </c>
      <c r="V1052">
        <f>HYPERLINK("https://klasma.github.io/Logging_2481/klagomål/A 44230-2024 FSC-klagomål.docx", "A 44230-2024")</f>
        <v/>
      </c>
      <c r="W1052">
        <f>HYPERLINK("https://klasma.github.io/Logging_2481/klagomålsmail/A 44230-2024 FSC-klagomål mail.docx", "A 44230-2024")</f>
        <v/>
      </c>
      <c r="X1052">
        <f>HYPERLINK("https://klasma.github.io/Logging_2481/tillsyn/A 44230-2024 tillsynsbegäran.docx", "A 44230-2024")</f>
        <v/>
      </c>
      <c r="Y1052">
        <f>HYPERLINK("https://klasma.github.io/Logging_2481/tillsynsmail/A 44230-2024 tillsynsbegäran mail.docx", "A 44230-2024")</f>
        <v/>
      </c>
    </row>
    <row r="1053" ht="15" customHeight="1">
      <c r="A1053" t="inlineStr">
        <is>
          <t>A 45935-2024</t>
        </is>
      </c>
      <c r="B1053" s="1" t="n">
        <v>45580</v>
      </c>
      <c r="C1053" s="1" t="n">
        <v>45788</v>
      </c>
      <c r="D1053" t="inlineStr">
        <is>
          <t>VÄSTERBOTTENS LÄN</t>
        </is>
      </c>
      <c r="E1053" t="inlineStr">
        <is>
          <t>LYCKSELE</t>
        </is>
      </c>
      <c r="F1053" t="inlineStr">
        <is>
          <t>Sveaskog</t>
        </is>
      </c>
      <c r="G1053" t="n">
        <v>2.4</v>
      </c>
      <c r="H1053" t="n">
        <v>0</v>
      </c>
      <c r="I1053" t="n">
        <v>0</v>
      </c>
      <c r="J1053" t="n">
        <v>2</v>
      </c>
      <c r="K1053" t="n">
        <v>0</v>
      </c>
      <c r="L1053" t="n">
        <v>0</v>
      </c>
      <c r="M1053" t="n">
        <v>0</v>
      </c>
      <c r="N1053" t="n">
        <v>0</v>
      </c>
      <c r="O1053" t="n">
        <v>2</v>
      </c>
      <c r="P1053" t="n">
        <v>0</v>
      </c>
      <c r="Q1053" t="n">
        <v>2</v>
      </c>
      <c r="R1053" s="2" t="inlineStr">
        <is>
          <t>Lunglav
Orange taggsvamp</t>
        </is>
      </c>
      <c r="S1053">
        <f>HYPERLINK("https://klasma.github.io/Logging_2481/artfynd/A 45935-2024 artfynd.xlsx", "A 45935-2024")</f>
        <v/>
      </c>
      <c r="T1053">
        <f>HYPERLINK("https://klasma.github.io/Logging_2481/kartor/A 45935-2024 karta.png", "A 45935-2024")</f>
        <v/>
      </c>
      <c r="V1053">
        <f>HYPERLINK("https://klasma.github.io/Logging_2481/klagomål/A 45935-2024 FSC-klagomål.docx", "A 45935-2024")</f>
        <v/>
      </c>
      <c r="W1053">
        <f>HYPERLINK("https://klasma.github.io/Logging_2481/klagomålsmail/A 45935-2024 FSC-klagomål mail.docx", "A 45935-2024")</f>
        <v/>
      </c>
      <c r="X1053">
        <f>HYPERLINK("https://klasma.github.io/Logging_2481/tillsyn/A 45935-2024 tillsynsbegäran.docx", "A 45935-2024")</f>
        <v/>
      </c>
      <c r="Y1053">
        <f>HYPERLINK("https://klasma.github.io/Logging_2481/tillsynsmail/A 45935-2024 tillsynsbegäran mail.docx", "A 45935-2024")</f>
        <v/>
      </c>
    </row>
    <row r="1054" ht="15" customHeight="1">
      <c r="A1054" t="inlineStr">
        <is>
          <t>A 46143-2024</t>
        </is>
      </c>
      <c r="B1054" s="1" t="n">
        <v>45581</v>
      </c>
      <c r="C1054" s="1" t="n">
        <v>45788</v>
      </c>
      <c r="D1054" t="inlineStr">
        <is>
          <t>VÄSTERBOTTENS LÄN</t>
        </is>
      </c>
      <c r="E1054" t="inlineStr">
        <is>
          <t>UMEÅ</t>
        </is>
      </c>
      <c r="G1054" t="n">
        <v>2.7</v>
      </c>
      <c r="H1054" t="n">
        <v>1</v>
      </c>
      <c r="I1054" t="n">
        <v>1</v>
      </c>
      <c r="J1054" t="n">
        <v>1</v>
      </c>
      <c r="K1054" t="n">
        <v>0</v>
      </c>
      <c r="L1054" t="n">
        <v>0</v>
      </c>
      <c r="M1054" t="n">
        <v>0</v>
      </c>
      <c r="N1054" t="n">
        <v>0</v>
      </c>
      <c r="O1054" t="n">
        <v>1</v>
      </c>
      <c r="P1054" t="n">
        <v>0</v>
      </c>
      <c r="Q1054" t="n">
        <v>2</v>
      </c>
      <c r="R1054" s="2" t="inlineStr">
        <is>
          <t>Talltita
Thomsons trägnagare</t>
        </is>
      </c>
      <c r="S1054">
        <f>HYPERLINK("https://klasma.github.io/Logging_2480/artfynd/A 46143-2024 artfynd.xlsx", "A 46143-2024")</f>
        <v/>
      </c>
      <c r="T1054">
        <f>HYPERLINK("https://klasma.github.io/Logging_2480/kartor/A 46143-2024 karta.png", "A 46143-2024")</f>
        <v/>
      </c>
      <c r="V1054">
        <f>HYPERLINK("https://klasma.github.io/Logging_2480/klagomål/A 46143-2024 FSC-klagomål.docx", "A 46143-2024")</f>
        <v/>
      </c>
      <c r="W1054">
        <f>HYPERLINK("https://klasma.github.io/Logging_2480/klagomålsmail/A 46143-2024 FSC-klagomål mail.docx", "A 46143-2024")</f>
        <v/>
      </c>
      <c r="X1054">
        <f>HYPERLINK("https://klasma.github.io/Logging_2480/tillsyn/A 46143-2024 tillsynsbegäran.docx", "A 46143-2024")</f>
        <v/>
      </c>
      <c r="Y1054">
        <f>HYPERLINK("https://klasma.github.io/Logging_2480/tillsynsmail/A 46143-2024 tillsynsbegäran mail.docx", "A 46143-2024")</f>
        <v/>
      </c>
      <c r="Z1054">
        <f>HYPERLINK("https://klasma.github.io/Logging_2480/fåglar/A 46143-2024 prioriterade fågelarter.docx", "A 46143-2024")</f>
        <v/>
      </c>
    </row>
    <row r="1055" ht="15" customHeight="1">
      <c r="A1055" t="inlineStr">
        <is>
          <t>A 46391-2024</t>
        </is>
      </c>
      <c r="B1055" s="1" t="n">
        <v>45582</v>
      </c>
      <c r="C1055" s="1" t="n">
        <v>45788</v>
      </c>
      <c r="D1055" t="inlineStr">
        <is>
          <t>VÄSTERBOTTENS LÄN</t>
        </is>
      </c>
      <c r="E1055" t="inlineStr">
        <is>
          <t>VILHELMINA</t>
        </is>
      </c>
      <c r="F1055" t="inlineStr">
        <is>
          <t>SCA</t>
        </is>
      </c>
      <c r="G1055" t="n">
        <v>23.4</v>
      </c>
      <c r="H1055" t="n">
        <v>0</v>
      </c>
      <c r="I1055" t="n">
        <v>0</v>
      </c>
      <c r="J1055" t="n">
        <v>2</v>
      </c>
      <c r="K1055" t="n">
        <v>0</v>
      </c>
      <c r="L1055" t="n">
        <v>0</v>
      </c>
      <c r="M1055" t="n">
        <v>0</v>
      </c>
      <c r="N1055" t="n">
        <v>0</v>
      </c>
      <c r="O1055" t="n">
        <v>2</v>
      </c>
      <c r="P1055" t="n">
        <v>0</v>
      </c>
      <c r="Q1055" t="n">
        <v>2</v>
      </c>
      <c r="R1055" s="2" t="inlineStr">
        <is>
          <t>Granticka
Gränsticka</t>
        </is>
      </c>
      <c r="S1055">
        <f>HYPERLINK("https://klasma.github.io/Logging_2462/artfynd/A 46391-2024 artfynd.xlsx", "A 46391-2024")</f>
        <v/>
      </c>
      <c r="T1055">
        <f>HYPERLINK("https://klasma.github.io/Logging_2462/kartor/A 46391-2024 karta.png", "A 46391-2024")</f>
        <v/>
      </c>
      <c r="V1055">
        <f>HYPERLINK("https://klasma.github.io/Logging_2462/klagomål/A 46391-2024 FSC-klagomål.docx", "A 46391-2024")</f>
        <v/>
      </c>
      <c r="W1055">
        <f>HYPERLINK("https://klasma.github.io/Logging_2462/klagomålsmail/A 46391-2024 FSC-klagomål mail.docx", "A 46391-2024")</f>
        <v/>
      </c>
      <c r="X1055">
        <f>HYPERLINK("https://klasma.github.io/Logging_2462/tillsyn/A 46391-2024 tillsynsbegäran.docx", "A 46391-2024")</f>
        <v/>
      </c>
      <c r="Y1055">
        <f>HYPERLINK("https://klasma.github.io/Logging_2462/tillsynsmail/A 46391-2024 tillsynsbegäran mail.docx", "A 46391-2024")</f>
        <v/>
      </c>
    </row>
    <row r="1056" ht="15" customHeight="1">
      <c r="A1056" t="inlineStr">
        <is>
          <t>A 46355-2024</t>
        </is>
      </c>
      <c r="B1056" s="1" t="n">
        <v>45582</v>
      </c>
      <c r="C1056" s="1" t="n">
        <v>45788</v>
      </c>
      <c r="D1056" t="inlineStr">
        <is>
          <t>VÄSTERBOTTENS LÄN</t>
        </is>
      </c>
      <c r="E1056" t="inlineStr">
        <is>
          <t>DOROTEA</t>
        </is>
      </c>
      <c r="F1056" t="inlineStr">
        <is>
          <t>SCA</t>
        </is>
      </c>
      <c r="G1056" t="n">
        <v>21.7</v>
      </c>
      <c r="H1056" t="n">
        <v>1</v>
      </c>
      <c r="I1056" t="n">
        <v>1</v>
      </c>
      <c r="J1056" t="n">
        <v>1</v>
      </c>
      <c r="K1056" t="n">
        <v>0</v>
      </c>
      <c r="L1056" t="n">
        <v>0</v>
      </c>
      <c r="M1056" t="n">
        <v>0</v>
      </c>
      <c r="N1056" t="n">
        <v>0</v>
      </c>
      <c r="O1056" t="n">
        <v>1</v>
      </c>
      <c r="P1056" t="n">
        <v>0</v>
      </c>
      <c r="Q1056" t="n">
        <v>2</v>
      </c>
      <c r="R1056" s="2" t="inlineStr">
        <is>
          <t>Doftskinn
Lappranunkel</t>
        </is>
      </c>
      <c r="S1056">
        <f>HYPERLINK("https://klasma.github.io/Logging_2425/artfynd/A 46355-2024 artfynd.xlsx", "A 46355-2024")</f>
        <v/>
      </c>
      <c r="T1056">
        <f>HYPERLINK("https://klasma.github.io/Logging_2425/kartor/A 46355-2024 karta.png", "A 46355-2024")</f>
        <v/>
      </c>
      <c r="V1056">
        <f>HYPERLINK("https://klasma.github.io/Logging_2425/klagomål/A 46355-2024 FSC-klagomål.docx", "A 46355-2024")</f>
        <v/>
      </c>
      <c r="W1056">
        <f>HYPERLINK("https://klasma.github.io/Logging_2425/klagomålsmail/A 46355-2024 FSC-klagomål mail.docx", "A 46355-2024")</f>
        <v/>
      </c>
      <c r="X1056">
        <f>HYPERLINK("https://klasma.github.io/Logging_2425/tillsyn/A 46355-2024 tillsynsbegäran.docx", "A 46355-2024")</f>
        <v/>
      </c>
      <c r="Y1056">
        <f>HYPERLINK("https://klasma.github.io/Logging_2425/tillsynsmail/A 46355-2024 tillsynsbegäran mail.docx", "A 46355-2024")</f>
        <v/>
      </c>
    </row>
    <row r="1057" ht="15" customHeight="1">
      <c r="A1057" t="inlineStr">
        <is>
          <t>A 46832-2024</t>
        </is>
      </c>
      <c r="B1057" s="1" t="n">
        <v>45583</v>
      </c>
      <c r="C1057" s="1" t="n">
        <v>45788</v>
      </c>
      <c r="D1057" t="inlineStr">
        <is>
          <t>VÄSTERBOTTENS LÄN</t>
        </is>
      </c>
      <c r="E1057" t="inlineStr">
        <is>
          <t>DOROTEA</t>
        </is>
      </c>
      <c r="F1057" t="inlineStr">
        <is>
          <t>SCA</t>
        </is>
      </c>
      <c r="G1057" t="n">
        <v>11.8</v>
      </c>
      <c r="H1057" t="n">
        <v>0</v>
      </c>
      <c r="I1057" t="n">
        <v>0</v>
      </c>
      <c r="J1057" t="n">
        <v>2</v>
      </c>
      <c r="K1057" t="n">
        <v>0</v>
      </c>
      <c r="L1057" t="n">
        <v>0</v>
      </c>
      <c r="M1057" t="n">
        <v>0</v>
      </c>
      <c r="N1057" t="n">
        <v>0</v>
      </c>
      <c r="O1057" t="n">
        <v>2</v>
      </c>
      <c r="P1057" t="n">
        <v>0</v>
      </c>
      <c r="Q1057" t="n">
        <v>2</v>
      </c>
      <c r="R1057" s="2" t="inlineStr">
        <is>
          <t>Garnlav
Granticka</t>
        </is>
      </c>
      <c r="S1057">
        <f>HYPERLINK("https://klasma.github.io/Logging_2425/artfynd/A 46832-2024 artfynd.xlsx", "A 46832-2024")</f>
        <v/>
      </c>
      <c r="T1057">
        <f>HYPERLINK("https://klasma.github.io/Logging_2425/kartor/A 46832-2024 karta.png", "A 46832-2024")</f>
        <v/>
      </c>
      <c r="V1057">
        <f>HYPERLINK("https://klasma.github.io/Logging_2425/klagomål/A 46832-2024 FSC-klagomål.docx", "A 46832-2024")</f>
        <v/>
      </c>
      <c r="W1057">
        <f>HYPERLINK("https://klasma.github.io/Logging_2425/klagomålsmail/A 46832-2024 FSC-klagomål mail.docx", "A 46832-2024")</f>
        <v/>
      </c>
      <c r="X1057">
        <f>HYPERLINK("https://klasma.github.io/Logging_2425/tillsyn/A 46832-2024 tillsynsbegäran.docx", "A 46832-2024")</f>
        <v/>
      </c>
      <c r="Y1057">
        <f>HYPERLINK("https://klasma.github.io/Logging_2425/tillsynsmail/A 46832-2024 tillsynsbegäran mail.docx", "A 46832-2024")</f>
        <v/>
      </c>
    </row>
    <row r="1058" ht="15" customHeight="1">
      <c r="A1058" t="inlineStr">
        <is>
          <t>A 47126-2024</t>
        </is>
      </c>
      <c r="B1058" s="1" t="n">
        <v>45586</v>
      </c>
      <c r="C1058" s="1" t="n">
        <v>45788</v>
      </c>
      <c r="D1058" t="inlineStr">
        <is>
          <t>VÄSTERBOTTENS LÄN</t>
        </is>
      </c>
      <c r="E1058" t="inlineStr">
        <is>
          <t>LYCKSELE</t>
        </is>
      </c>
      <c r="F1058" t="inlineStr">
        <is>
          <t>Sveaskog</t>
        </is>
      </c>
      <c r="G1058" t="n">
        <v>16.2</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HYPERLINK("https://klasma.github.io/Logging_2481/artfynd/A 47126-2024 artfynd.xlsx", "A 47126-2024")</f>
        <v/>
      </c>
      <c r="T1058">
        <f>HYPERLINK("https://klasma.github.io/Logging_2481/kartor/A 47126-2024 karta.png", "A 47126-2024")</f>
        <v/>
      </c>
      <c r="V1058">
        <f>HYPERLINK("https://klasma.github.io/Logging_2481/klagomål/A 47126-2024 FSC-klagomål.docx", "A 47126-2024")</f>
        <v/>
      </c>
      <c r="W1058">
        <f>HYPERLINK("https://klasma.github.io/Logging_2481/klagomålsmail/A 47126-2024 FSC-klagomål mail.docx", "A 47126-2024")</f>
        <v/>
      </c>
      <c r="X1058">
        <f>HYPERLINK("https://klasma.github.io/Logging_2481/tillsyn/A 47126-2024 tillsynsbegäran.docx", "A 47126-2024")</f>
        <v/>
      </c>
      <c r="Y1058">
        <f>HYPERLINK("https://klasma.github.io/Logging_2481/tillsynsmail/A 47126-2024 tillsynsbegäran mail.docx", "A 47126-2024")</f>
        <v/>
      </c>
    </row>
    <row r="1059" ht="15" customHeight="1">
      <c r="A1059" t="inlineStr">
        <is>
          <t>A 48222-2024</t>
        </is>
      </c>
      <c r="B1059" s="1" t="n">
        <v>45590</v>
      </c>
      <c r="C1059" s="1" t="n">
        <v>45788</v>
      </c>
      <c r="D1059" t="inlineStr">
        <is>
          <t>VÄSTERBOTTENS LÄN</t>
        </is>
      </c>
      <c r="E1059" t="inlineStr">
        <is>
          <t>LYCKSELE</t>
        </is>
      </c>
      <c r="F1059" t="inlineStr">
        <is>
          <t>Sveaskog</t>
        </is>
      </c>
      <c r="G1059" t="n">
        <v>4.2</v>
      </c>
      <c r="H1059" t="n">
        <v>0</v>
      </c>
      <c r="I1059" t="n">
        <v>0</v>
      </c>
      <c r="J1059" t="n">
        <v>1</v>
      </c>
      <c r="K1059" t="n">
        <v>1</v>
      </c>
      <c r="L1059" t="n">
        <v>0</v>
      </c>
      <c r="M1059" t="n">
        <v>0</v>
      </c>
      <c r="N1059" t="n">
        <v>0</v>
      </c>
      <c r="O1059" t="n">
        <v>2</v>
      </c>
      <c r="P1059" t="n">
        <v>1</v>
      </c>
      <c r="Q1059" t="n">
        <v>2</v>
      </c>
      <c r="R1059" s="2" t="inlineStr">
        <is>
          <t>Gräddporing
Lunglav</t>
        </is>
      </c>
      <c r="S1059">
        <f>HYPERLINK("https://klasma.github.io/Logging_2481/artfynd/A 48222-2024 artfynd.xlsx", "A 48222-2024")</f>
        <v/>
      </c>
      <c r="T1059">
        <f>HYPERLINK("https://klasma.github.io/Logging_2481/kartor/A 48222-2024 karta.png", "A 48222-2024")</f>
        <v/>
      </c>
      <c r="V1059">
        <f>HYPERLINK("https://klasma.github.io/Logging_2481/klagomål/A 48222-2024 FSC-klagomål.docx", "A 48222-2024")</f>
        <v/>
      </c>
      <c r="W1059">
        <f>HYPERLINK("https://klasma.github.io/Logging_2481/klagomålsmail/A 48222-2024 FSC-klagomål mail.docx", "A 48222-2024")</f>
        <v/>
      </c>
      <c r="X1059">
        <f>HYPERLINK("https://klasma.github.io/Logging_2481/tillsyn/A 48222-2024 tillsynsbegäran.docx", "A 48222-2024")</f>
        <v/>
      </c>
      <c r="Y1059">
        <f>HYPERLINK("https://klasma.github.io/Logging_2481/tillsynsmail/A 48222-2024 tillsynsbegäran mail.docx", "A 48222-2024")</f>
        <v/>
      </c>
    </row>
    <row r="1060" ht="15" customHeight="1">
      <c r="A1060" t="inlineStr">
        <is>
          <t>A 49136-2024</t>
        </is>
      </c>
      <c r="B1060" s="1" t="n">
        <v>45594</v>
      </c>
      <c r="C1060" s="1" t="n">
        <v>45788</v>
      </c>
      <c r="D1060" t="inlineStr">
        <is>
          <t>VÄSTERBOTTENS LÄN</t>
        </is>
      </c>
      <c r="E1060" t="inlineStr">
        <is>
          <t>UMEÅ</t>
        </is>
      </c>
      <c r="G1060" t="n">
        <v>2.7</v>
      </c>
      <c r="H1060" t="n">
        <v>0</v>
      </c>
      <c r="I1060" t="n">
        <v>0</v>
      </c>
      <c r="J1060" t="n">
        <v>2</v>
      </c>
      <c r="K1060" t="n">
        <v>0</v>
      </c>
      <c r="L1060" t="n">
        <v>0</v>
      </c>
      <c r="M1060" t="n">
        <v>0</v>
      </c>
      <c r="N1060" t="n">
        <v>0</v>
      </c>
      <c r="O1060" t="n">
        <v>2</v>
      </c>
      <c r="P1060" t="n">
        <v>0</v>
      </c>
      <c r="Q1060" t="n">
        <v>2</v>
      </c>
      <c r="R1060" s="2" t="inlineStr">
        <is>
          <t>Garnlav
Lunglav</t>
        </is>
      </c>
      <c r="S1060">
        <f>HYPERLINK("https://klasma.github.io/Logging_2480/artfynd/A 49136-2024 artfynd.xlsx", "A 49136-2024")</f>
        <v/>
      </c>
      <c r="T1060">
        <f>HYPERLINK("https://klasma.github.io/Logging_2480/kartor/A 49136-2024 karta.png", "A 49136-2024")</f>
        <v/>
      </c>
      <c r="V1060">
        <f>HYPERLINK("https://klasma.github.io/Logging_2480/klagomål/A 49136-2024 FSC-klagomål.docx", "A 49136-2024")</f>
        <v/>
      </c>
      <c r="W1060">
        <f>HYPERLINK("https://klasma.github.io/Logging_2480/klagomålsmail/A 49136-2024 FSC-klagomål mail.docx", "A 49136-2024")</f>
        <v/>
      </c>
      <c r="X1060">
        <f>HYPERLINK("https://klasma.github.io/Logging_2480/tillsyn/A 49136-2024 tillsynsbegäran.docx", "A 49136-2024")</f>
        <v/>
      </c>
      <c r="Y1060">
        <f>HYPERLINK("https://klasma.github.io/Logging_2480/tillsynsmail/A 49136-2024 tillsynsbegäran mail.docx", "A 49136-2024")</f>
        <v/>
      </c>
    </row>
    <row r="1061" ht="15" customHeight="1">
      <c r="A1061" t="inlineStr">
        <is>
          <t>A 49250-2024</t>
        </is>
      </c>
      <c r="B1061" s="1" t="n">
        <v>45595</v>
      </c>
      <c r="C1061" s="1" t="n">
        <v>45788</v>
      </c>
      <c r="D1061" t="inlineStr">
        <is>
          <t>VÄSTERBOTTENS LÄN</t>
        </is>
      </c>
      <c r="E1061" t="inlineStr">
        <is>
          <t>SORSELE</t>
        </is>
      </c>
      <c r="F1061" t="inlineStr">
        <is>
          <t>Sveaskog</t>
        </is>
      </c>
      <c r="G1061" t="n">
        <v>20</v>
      </c>
      <c r="H1061" t="n">
        <v>0</v>
      </c>
      <c r="I1061" t="n">
        <v>0</v>
      </c>
      <c r="J1061" t="n">
        <v>2</v>
      </c>
      <c r="K1061" t="n">
        <v>0</v>
      </c>
      <c r="L1061" t="n">
        <v>0</v>
      </c>
      <c r="M1061" t="n">
        <v>0</v>
      </c>
      <c r="N1061" t="n">
        <v>0</v>
      </c>
      <c r="O1061" t="n">
        <v>2</v>
      </c>
      <c r="P1061" t="n">
        <v>0</v>
      </c>
      <c r="Q1061" t="n">
        <v>2</v>
      </c>
      <c r="R1061" s="2" t="inlineStr">
        <is>
          <t>Motaggsvamp
Orange taggsvamp</t>
        </is>
      </c>
      <c r="S1061">
        <f>HYPERLINK("https://klasma.github.io/Logging_2422/artfynd/A 49250-2024 artfynd.xlsx", "A 49250-2024")</f>
        <v/>
      </c>
      <c r="T1061">
        <f>HYPERLINK("https://klasma.github.io/Logging_2422/kartor/A 49250-2024 karta.png", "A 49250-2024")</f>
        <v/>
      </c>
      <c r="V1061">
        <f>HYPERLINK("https://klasma.github.io/Logging_2422/klagomål/A 49250-2024 FSC-klagomål.docx", "A 49250-2024")</f>
        <v/>
      </c>
      <c r="W1061">
        <f>HYPERLINK("https://klasma.github.io/Logging_2422/klagomålsmail/A 49250-2024 FSC-klagomål mail.docx", "A 49250-2024")</f>
        <v/>
      </c>
      <c r="X1061">
        <f>HYPERLINK("https://klasma.github.io/Logging_2422/tillsyn/A 49250-2024 tillsynsbegäran.docx", "A 49250-2024")</f>
        <v/>
      </c>
      <c r="Y1061">
        <f>HYPERLINK("https://klasma.github.io/Logging_2422/tillsynsmail/A 49250-2024 tillsynsbegäran mail.docx", "A 49250-2024")</f>
        <v/>
      </c>
    </row>
    <row r="1062" ht="15" customHeight="1">
      <c r="A1062" t="inlineStr">
        <is>
          <t>A 50687-2024</t>
        </is>
      </c>
      <c r="B1062" s="1" t="n">
        <v>45602</v>
      </c>
      <c r="C1062" s="1" t="n">
        <v>45788</v>
      </c>
      <c r="D1062" t="inlineStr">
        <is>
          <t>VÄSTERBOTTENS LÄN</t>
        </is>
      </c>
      <c r="E1062" t="inlineStr">
        <is>
          <t>LYCKSELE</t>
        </is>
      </c>
      <c r="F1062" t="inlineStr">
        <is>
          <t>Sveaskog</t>
        </is>
      </c>
      <c r="G1062" t="n">
        <v>17.4</v>
      </c>
      <c r="H1062" t="n">
        <v>0</v>
      </c>
      <c r="I1062" t="n">
        <v>1</v>
      </c>
      <c r="J1062" t="n">
        <v>1</v>
      </c>
      <c r="K1062" t="n">
        <v>0</v>
      </c>
      <c r="L1062" t="n">
        <v>0</v>
      </c>
      <c r="M1062" t="n">
        <v>0</v>
      </c>
      <c r="N1062" t="n">
        <v>0</v>
      </c>
      <c r="O1062" t="n">
        <v>1</v>
      </c>
      <c r="P1062" t="n">
        <v>0</v>
      </c>
      <c r="Q1062" t="n">
        <v>2</v>
      </c>
      <c r="R1062" s="2" t="inlineStr">
        <is>
          <t>Motaggsvamp
Dropptaggsvamp</t>
        </is>
      </c>
      <c r="S1062">
        <f>HYPERLINK("https://klasma.github.io/Logging_2481/artfynd/A 50687-2024 artfynd.xlsx", "A 50687-2024")</f>
        <v/>
      </c>
      <c r="T1062">
        <f>HYPERLINK("https://klasma.github.io/Logging_2481/kartor/A 50687-2024 karta.png", "A 50687-2024")</f>
        <v/>
      </c>
      <c r="V1062">
        <f>HYPERLINK("https://klasma.github.io/Logging_2481/klagomål/A 50687-2024 FSC-klagomål.docx", "A 50687-2024")</f>
        <v/>
      </c>
      <c r="W1062">
        <f>HYPERLINK("https://klasma.github.io/Logging_2481/klagomålsmail/A 50687-2024 FSC-klagomål mail.docx", "A 50687-2024")</f>
        <v/>
      </c>
      <c r="X1062">
        <f>HYPERLINK("https://klasma.github.io/Logging_2481/tillsyn/A 50687-2024 tillsynsbegäran.docx", "A 50687-2024")</f>
        <v/>
      </c>
      <c r="Y1062">
        <f>HYPERLINK("https://klasma.github.io/Logging_2481/tillsynsmail/A 50687-2024 tillsynsbegäran mail.docx", "A 50687-2024")</f>
        <v/>
      </c>
    </row>
    <row r="1063" ht="15" customHeight="1">
      <c r="A1063" t="inlineStr">
        <is>
          <t>A 50741-2024</t>
        </is>
      </c>
      <c r="B1063" s="1" t="n">
        <v>45602</v>
      </c>
      <c r="C1063" s="1" t="n">
        <v>45788</v>
      </c>
      <c r="D1063" t="inlineStr">
        <is>
          <t>VÄSTERBOTTENS LÄN</t>
        </is>
      </c>
      <c r="E1063" t="inlineStr">
        <is>
          <t>LYCKSELE</t>
        </is>
      </c>
      <c r="F1063" t="inlineStr">
        <is>
          <t>Sveaskog</t>
        </is>
      </c>
      <c r="G1063" t="n">
        <v>6.2</v>
      </c>
      <c r="H1063" t="n">
        <v>0</v>
      </c>
      <c r="I1063" t="n">
        <v>1</v>
      </c>
      <c r="J1063" t="n">
        <v>1</v>
      </c>
      <c r="K1063" t="n">
        <v>0</v>
      </c>
      <c r="L1063" t="n">
        <v>0</v>
      </c>
      <c r="M1063" t="n">
        <v>0</v>
      </c>
      <c r="N1063" t="n">
        <v>0</v>
      </c>
      <c r="O1063" t="n">
        <v>1</v>
      </c>
      <c r="P1063" t="n">
        <v>0</v>
      </c>
      <c r="Q1063" t="n">
        <v>2</v>
      </c>
      <c r="R1063" s="2" t="inlineStr">
        <is>
          <t>Mörk kolflarnlav
Skarp dropptaggsvamp</t>
        </is>
      </c>
      <c r="S1063">
        <f>HYPERLINK("https://klasma.github.io/Logging_2481/artfynd/A 50741-2024 artfynd.xlsx", "A 50741-2024")</f>
        <v/>
      </c>
      <c r="T1063">
        <f>HYPERLINK("https://klasma.github.io/Logging_2481/kartor/A 50741-2024 karta.png", "A 50741-2024")</f>
        <v/>
      </c>
      <c r="V1063">
        <f>HYPERLINK("https://klasma.github.io/Logging_2481/klagomål/A 50741-2024 FSC-klagomål.docx", "A 50741-2024")</f>
        <v/>
      </c>
      <c r="W1063">
        <f>HYPERLINK("https://klasma.github.io/Logging_2481/klagomålsmail/A 50741-2024 FSC-klagomål mail.docx", "A 50741-2024")</f>
        <v/>
      </c>
      <c r="X1063">
        <f>HYPERLINK("https://klasma.github.io/Logging_2481/tillsyn/A 50741-2024 tillsynsbegäran.docx", "A 50741-2024")</f>
        <v/>
      </c>
      <c r="Y1063">
        <f>HYPERLINK("https://klasma.github.io/Logging_2481/tillsynsmail/A 50741-2024 tillsynsbegäran mail.docx", "A 50741-2024")</f>
        <v/>
      </c>
    </row>
    <row r="1064" ht="15" customHeight="1">
      <c r="A1064" t="inlineStr">
        <is>
          <t>A 52234-2024</t>
        </is>
      </c>
      <c r="B1064" s="1" t="n">
        <v>45608</v>
      </c>
      <c r="C1064" s="1" t="n">
        <v>45788</v>
      </c>
      <c r="D1064" t="inlineStr">
        <is>
          <t>VÄSTERBOTTENS LÄN</t>
        </is>
      </c>
      <c r="E1064" t="inlineStr">
        <is>
          <t>LYCKSELE</t>
        </is>
      </c>
      <c r="F1064" t="inlineStr">
        <is>
          <t>Sveaskog</t>
        </is>
      </c>
      <c r="G1064" t="n">
        <v>2.7</v>
      </c>
      <c r="H1064" t="n">
        <v>1</v>
      </c>
      <c r="I1064" t="n">
        <v>1</v>
      </c>
      <c r="J1064" t="n">
        <v>0</v>
      </c>
      <c r="K1064" t="n">
        <v>0</v>
      </c>
      <c r="L1064" t="n">
        <v>0</v>
      </c>
      <c r="M1064" t="n">
        <v>0</v>
      </c>
      <c r="N1064" t="n">
        <v>0</v>
      </c>
      <c r="O1064" t="n">
        <v>0</v>
      </c>
      <c r="P1064" t="n">
        <v>0</v>
      </c>
      <c r="Q1064" t="n">
        <v>2</v>
      </c>
      <c r="R1064" s="2" t="inlineStr">
        <is>
          <t>Dropptaggsvamp
Lavskrika</t>
        </is>
      </c>
      <c r="S1064">
        <f>HYPERLINK("https://klasma.github.io/Logging_2481/artfynd/A 52234-2024 artfynd.xlsx", "A 52234-2024")</f>
        <v/>
      </c>
      <c r="T1064">
        <f>HYPERLINK("https://klasma.github.io/Logging_2481/kartor/A 52234-2024 karta.png", "A 52234-2024")</f>
        <v/>
      </c>
      <c r="V1064">
        <f>HYPERLINK("https://klasma.github.io/Logging_2481/klagomål/A 52234-2024 FSC-klagomål.docx", "A 52234-2024")</f>
        <v/>
      </c>
      <c r="W1064">
        <f>HYPERLINK("https://klasma.github.io/Logging_2481/klagomålsmail/A 52234-2024 FSC-klagomål mail.docx", "A 52234-2024")</f>
        <v/>
      </c>
      <c r="X1064">
        <f>HYPERLINK("https://klasma.github.io/Logging_2481/tillsyn/A 52234-2024 tillsynsbegäran.docx", "A 52234-2024")</f>
        <v/>
      </c>
      <c r="Y1064">
        <f>HYPERLINK("https://klasma.github.io/Logging_2481/tillsynsmail/A 52234-2024 tillsynsbegäran mail.docx", "A 52234-2024")</f>
        <v/>
      </c>
      <c r="Z1064">
        <f>HYPERLINK("https://klasma.github.io/Logging_2481/fåglar/A 52234-2024 prioriterade fågelarter.docx", "A 52234-2024")</f>
        <v/>
      </c>
    </row>
    <row r="1065" ht="15" customHeight="1">
      <c r="A1065" t="inlineStr">
        <is>
          <t>A 52416-2024</t>
        </is>
      </c>
      <c r="B1065" s="1" t="n">
        <v>45608</v>
      </c>
      <c r="C1065" s="1" t="n">
        <v>45788</v>
      </c>
      <c r="D1065" t="inlineStr">
        <is>
          <t>VÄSTERBOTTENS LÄN</t>
        </is>
      </c>
      <c r="E1065" t="inlineStr">
        <is>
          <t>SKELLEFTEÅ</t>
        </is>
      </c>
      <c r="G1065" t="n">
        <v>5.1</v>
      </c>
      <c r="H1065" t="n">
        <v>0</v>
      </c>
      <c r="I1065" t="n">
        <v>0</v>
      </c>
      <c r="J1065" t="n">
        <v>2</v>
      </c>
      <c r="K1065" t="n">
        <v>0</v>
      </c>
      <c r="L1065" t="n">
        <v>0</v>
      </c>
      <c r="M1065" t="n">
        <v>0</v>
      </c>
      <c r="N1065" t="n">
        <v>0</v>
      </c>
      <c r="O1065" t="n">
        <v>2</v>
      </c>
      <c r="P1065" t="n">
        <v>0</v>
      </c>
      <c r="Q1065" t="n">
        <v>2</v>
      </c>
      <c r="R1065" s="2" t="inlineStr">
        <is>
          <t>Garnlav
Granticka</t>
        </is>
      </c>
      <c r="S1065">
        <f>HYPERLINK("https://klasma.github.io/Logging_2482/artfynd/A 52416-2024 artfynd.xlsx", "A 52416-2024")</f>
        <v/>
      </c>
      <c r="T1065">
        <f>HYPERLINK("https://klasma.github.io/Logging_2482/kartor/A 52416-2024 karta.png", "A 52416-2024")</f>
        <v/>
      </c>
      <c r="V1065">
        <f>HYPERLINK("https://klasma.github.io/Logging_2482/klagomål/A 52416-2024 FSC-klagomål.docx", "A 52416-2024")</f>
        <v/>
      </c>
      <c r="W1065">
        <f>HYPERLINK("https://klasma.github.io/Logging_2482/klagomålsmail/A 52416-2024 FSC-klagomål mail.docx", "A 52416-2024")</f>
        <v/>
      </c>
      <c r="X1065">
        <f>HYPERLINK("https://klasma.github.io/Logging_2482/tillsyn/A 52416-2024 tillsynsbegäran.docx", "A 52416-2024")</f>
        <v/>
      </c>
      <c r="Y1065">
        <f>HYPERLINK("https://klasma.github.io/Logging_2482/tillsynsmail/A 52416-2024 tillsynsbegäran mail.docx", "A 52416-2024")</f>
        <v/>
      </c>
    </row>
    <row r="1066" ht="15" customHeight="1">
      <c r="A1066" t="inlineStr">
        <is>
          <t>A 52525-2024</t>
        </is>
      </c>
      <c r="B1066" s="1" t="n">
        <v>45609</v>
      </c>
      <c r="C1066" s="1" t="n">
        <v>45788</v>
      </c>
      <c r="D1066" t="inlineStr">
        <is>
          <t>VÄSTERBOTTENS LÄN</t>
        </is>
      </c>
      <c r="E1066" t="inlineStr">
        <is>
          <t>SKELLEFTEÅ</t>
        </is>
      </c>
      <c r="G1066" t="n">
        <v>8.6</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HYPERLINK("https://klasma.github.io/Logging_2482/artfynd/A 52525-2024 artfynd.xlsx", "A 52525-2024")</f>
        <v/>
      </c>
      <c r="T1066">
        <f>HYPERLINK("https://klasma.github.io/Logging_2482/kartor/A 52525-2024 karta.png", "A 52525-2024")</f>
        <v/>
      </c>
      <c r="V1066">
        <f>HYPERLINK("https://klasma.github.io/Logging_2482/klagomål/A 52525-2024 FSC-klagomål.docx", "A 52525-2024")</f>
        <v/>
      </c>
      <c r="W1066">
        <f>HYPERLINK("https://klasma.github.io/Logging_2482/klagomålsmail/A 52525-2024 FSC-klagomål mail.docx", "A 52525-2024")</f>
        <v/>
      </c>
      <c r="X1066">
        <f>HYPERLINK("https://klasma.github.io/Logging_2482/tillsyn/A 52525-2024 tillsynsbegäran.docx", "A 52525-2024")</f>
        <v/>
      </c>
      <c r="Y1066">
        <f>HYPERLINK("https://klasma.github.io/Logging_2482/tillsynsmail/A 52525-2024 tillsynsbegäran mail.docx", "A 52525-2024")</f>
        <v/>
      </c>
    </row>
    <row r="1067" ht="15" customHeight="1">
      <c r="A1067" t="inlineStr">
        <is>
          <t>A 52622-2024</t>
        </is>
      </c>
      <c r="B1067" s="1" t="n">
        <v>45609</v>
      </c>
      <c r="C1067" s="1" t="n">
        <v>45788</v>
      </c>
      <c r="D1067" t="inlineStr">
        <is>
          <t>VÄSTERBOTTENS LÄN</t>
        </is>
      </c>
      <c r="E1067" t="inlineStr">
        <is>
          <t>SORSELE</t>
        </is>
      </c>
      <c r="G1067" t="n">
        <v>3.3</v>
      </c>
      <c r="H1067" t="n">
        <v>0</v>
      </c>
      <c r="I1067" t="n">
        <v>0</v>
      </c>
      <c r="J1067" t="n">
        <v>2</v>
      </c>
      <c r="K1067" t="n">
        <v>0</v>
      </c>
      <c r="L1067" t="n">
        <v>0</v>
      </c>
      <c r="M1067" t="n">
        <v>0</v>
      </c>
      <c r="N1067" t="n">
        <v>0</v>
      </c>
      <c r="O1067" t="n">
        <v>2</v>
      </c>
      <c r="P1067" t="n">
        <v>0</v>
      </c>
      <c r="Q1067" t="n">
        <v>2</v>
      </c>
      <c r="R1067" s="2" t="inlineStr">
        <is>
          <t>Gammelgransskål
Kolflarnlav</t>
        </is>
      </c>
      <c r="S1067">
        <f>HYPERLINK("https://klasma.github.io/Logging_2422/artfynd/A 52622-2024 artfynd.xlsx", "A 52622-2024")</f>
        <v/>
      </c>
      <c r="T1067">
        <f>HYPERLINK("https://klasma.github.io/Logging_2422/kartor/A 52622-2024 karta.png", "A 52622-2024")</f>
        <v/>
      </c>
      <c r="V1067">
        <f>HYPERLINK("https://klasma.github.io/Logging_2422/klagomål/A 52622-2024 FSC-klagomål.docx", "A 52622-2024")</f>
        <v/>
      </c>
      <c r="W1067">
        <f>HYPERLINK("https://klasma.github.io/Logging_2422/klagomålsmail/A 52622-2024 FSC-klagomål mail.docx", "A 52622-2024")</f>
        <v/>
      </c>
      <c r="X1067">
        <f>HYPERLINK("https://klasma.github.io/Logging_2422/tillsyn/A 52622-2024 tillsynsbegäran.docx", "A 52622-2024")</f>
        <v/>
      </c>
      <c r="Y1067">
        <f>HYPERLINK("https://klasma.github.io/Logging_2422/tillsynsmail/A 52622-2024 tillsynsbegäran mail.docx", "A 52622-2024")</f>
        <v/>
      </c>
    </row>
    <row r="1068" ht="15" customHeight="1">
      <c r="A1068" t="inlineStr">
        <is>
          <t>A 53422-2024</t>
        </is>
      </c>
      <c r="B1068" s="1" t="n">
        <v>45614</v>
      </c>
      <c r="C1068" s="1" t="n">
        <v>45788</v>
      </c>
      <c r="D1068" t="inlineStr">
        <is>
          <t>VÄSTERBOTTENS LÄN</t>
        </is>
      </c>
      <c r="E1068" t="inlineStr">
        <is>
          <t>SKELLEFTEÅ</t>
        </is>
      </c>
      <c r="G1068" t="n">
        <v>1.6</v>
      </c>
      <c r="H1068" t="n">
        <v>1</v>
      </c>
      <c r="I1068" t="n">
        <v>0</v>
      </c>
      <c r="J1068" t="n">
        <v>2</v>
      </c>
      <c r="K1068" t="n">
        <v>0</v>
      </c>
      <c r="L1068" t="n">
        <v>0</v>
      </c>
      <c r="M1068" t="n">
        <v>0</v>
      </c>
      <c r="N1068" t="n">
        <v>0</v>
      </c>
      <c r="O1068" t="n">
        <v>2</v>
      </c>
      <c r="P1068" t="n">
        <v>0</v>
      </c>
      <c r="Q1068" t="n">
        <v>2</v>
      </c>
      <c r="R1068" s="2" t="inlineStr">
        <is>
          <t>Järpe
Talltaggsvamp</t>
        </is>
      </c>
      <c r="S1068">
        <f>HYPERLINK("https://klasma.github.io/Logging_2482/artfynd/A 53422-2024 artfynd.xlsx", "A 53422-2024")</f>
        <v/>
      </c>
      <c r="T1068">
        <f>HYPERLINK("https://klasma.github.io/Logging_2482/kartor/A 53422-2024 karta.png", "A 53422-2024")</f>
        <v/>
      </c>
      <c r="V1068">
        <f>HYPERLINK("https://klasma.github.io/Logging_2482/klagomål/A 53422-2024 FSC-klagomål.docx", "A 53422-2024")</f>
        <v/>
      </c>
      <c r="W1068">
        <f>HYPERLINK("https://klasma.github.io/Logging_2482/klagomålsmail/A 53422-2024 FSC-klagomål mail.docx", "A 53422-2024")</f>
        <v/>
      </c>
      <c r="X1068">
        <f>HYPERLINK("https://klasma.github.io/Logging_2482/tillsyn/A 53422-2024 tillsynsbegäran.docx", "A 53422-2024")</f>
        <v/>
      </c>
      <c r="Y1068">
        <f>HYPERLINK("https://klasma.github.io/Logging_2482/tillsynsmail/A 53422-2024 tillsynsbegäran mail.docx", "A 53422-2024")</f>
        <v/>
      </c>
      <c r="Z1068">
        <f>HYPERLINK("https://klasma.github.io/Logging_2482/fåglar/A 53422-2024 prioriterade fågelarter.docx", "A 53422-2024")</f>
        <v/>
      </c>
    </row>
    <row r="1069" ht="15" customHeight="1">
      <c r="A1069" t="inlineStr">
        <is>
          <t>A 53271-2024</t>
        </is>
      </c>
      <c r="B1069" s="1" t="n">
        <v>45614</v>
      </c>
      <c r="C1069" s="1" t="n">
        <v>45788</v>
      </c>
      <c r="D1069" t="inlineStr">
        <is>
          <t>VÄSTERBOTTENS LÄN</t>
        </is>
      </c>
      <c r="E1069" t="inlineStr">
        <is>
          <t>SKELLEFTEÅ</t>
        </is>
      </c>
      <c r="F1069" t="inlineStr">
        <is>
          <t>Holmen skog AB</t>
        </is>
      </c>
      <c r="G1069" t="n">
        <v>11.1</v>
      </c>
      <c r="H1069" t="n">
        <v>0</v>
      </c>
      <c r="I1069" t="n">
        <v>1</v>
      </c>
      <c r="J1069" t="n">
        <v>1</v>
      </c>
      <c r="K1069" t="n">
        <v>0</v>
      </c>
      <c r="L1069" t="n">
        <v>0</v>
      </c>
      <c r="M1069" t="n">
        <v>0</v>
      </c>
      <c r="N1069" t="n">
        <v>0</v>
      </c>
      <c r="O1069" t="n">
        <v>1</v>
      </c>
      <c r="P1069" t="n">
        <v>0</v>
      </c>
      <c r="Q1069" t="n">
        <v>2</v>
      </c>
      <c r="R1069" s="2" t="inlineStr">
        <is>
          <t>Orange taggsvamp
Ögonpyrola</t>
        </is>
      </c>
      <c r="S1069">
        <f>HYPERLINK("https://klasma.github.io/Logging_2482/artfynd/A 53271-2024 artfynd.xlsx", "A 53271-2024")</f>
        <v/>
      </c>
      <c r="T1069">
        <f>HYPERLINK("https://klasma.github.io/Logging_2482/kartor/A 53271-2024 karta.png", "A 53271-2024")</f>
        <v/>
      </c>
      <c r="V1069">
        <f>HYPERLINK("https://klasma.github.io/Logging_2482/klagomål/A 53271-2024 FSC-klagomål.docx", "A 53271-2024")</f>
        <v/>
      </c>
      <c r="W1069">
        <f>HYPERLINK("https://klasma.github.io/Logging_2482/klagomålsmail/A 53271-2024 FSC-klagomål mail.docx", "A 53271-2024")</f>
        <v/>
      </c>
      <c r="X1069">
        <f>HYPERLINK("https://klasma.github.io/Logging_2482/tillsyn/A 53271-2024 tillsynsbegäran.docx", "A 53271-2024")</f>
        <v/>
      </c>
      <c r="Y1069">
        <f>HYPERLINK("https://klasma.github.io/Logging_2482/tillsynsmail/A 53271-2024 tillsynsbegäran mail.docx", "A 53271-2024")</f>
        <v/>
      </c>
    </row>
    <row r="1070" ht="15" customHeight="1">
      <c r="A1070" t="inlineStr">
        <is>
          <t>A 54284-2024</t>
        </is>
      </c>
      <c r="B1070" s="1" t="n">
        <v>45616</v>
      </c>
      <c r="C1070" s="1" t="n">
        <v>45788</v>
      </c>
      <c r="D1070" t="inlineStr">
        <is>
          <t>VÄSTERBOTTENS LÄN</t>
        </is>
      </c>
      <c r="E1070" t="inlineStr">
        <is>
          <t>DOROTEA</t>
        </is>
      </c>
      <c r="G1070" t="n">
        <v>16.1</v>
      </c>
      <c r="H1070" t="n">
        <v>0</v>
      </c>
      <c r="I1070" t="n">
        <v>2</v>
      </c>
      <c r="J1070" t="n">
        <v>0</v>
      </c>
      <c r="K1070" t="n">
        <v>0</v>
      </c>
      <c r="L1070" t="n">
        <v>0</v>
      </c>
      <c r="M1070" t="n">
        <v>0</v>
      </c>
      <c r="N1070" t="n">
        <v>0</v>
      </c>
      <c r="O1070" t="n">
        <v>0</v>
      </c>
      <c r="P1070" t="n">
        <v>0</v>
      </c>
      <c r="Q1070" t="n">
        <v>2</v>
      </c>
      <c r="R1070" s="2" t="inlineStr">
        <is>
          <t>Bårdlav
Stuplav</t>
        </is>
      </c>
      <c r="S1070">
        <f>HYPERLINK("https://klasma.github.io/Logging_2425/artfynd/A 54284-2024 artfynd.xlsx", "A 54284-2024")</f>
        <v/>
      </c>
      <c r="T1070">
        <f>HYPERLINK("https://klasma.github.io/Logging_2425/kartor/A 54284-2024 karta.png", "A 54284-2024")</f>
        <v/>
      </c>
      <c r="V1070">
        <f>HYPERLINK("https://klasma.github.io/Logging_2425/klagomål/A 54284-2024 FSC-klagomål.docx", "A 54284-2024")</f>
        <v/>
      </c>
      <c r="W1070">
        <f>HYPERLINK("https://klasma.github.io/Logging_2425/klagomålsmail/A 54284-2024 FSC-klagomål mail.docx", "A 54284-2024")</f>
        <v/>
      </c>
      <c r="X1070">
        <f>HYPERLINK("https://klasma.github.io/Logging_2425/tillsyn/A 54284-2024 tillsynsbegäran.docx", "A 54284-2024")</f>
        <v/>
      </c>
      <c r="Y1070">
        <f>HYPERLINK("https://klasma.github.io/Logging_2425/tillsynsmail/A 54284-2024 tillsynsbegäran mail.docx", "A 54284-2024")</f>
        <v/>
      </c>
    </row>
    <row r="1071" ht="15" customHeight="1">
      <c r="A1071" t="inlineStr">
        <is>
          <t>A 54363-2024</t>
        </is>
      </c>
      <c r="B1071" s="1" t="n">
        <v>45617</v>
      </c>
      <c r="C1071" s="1" t="n">
        <v>45788</v>
      </c>
      <c r="D1071" t="inlineStr">
        <is>
          <t>VÄSTERBOTTENS LÄN</t>
        </is>
      </c>
      <c r="E1071" t="inlineStr">
        <is>
          <t>VINDELN</t>
        </is>
      </c>
      <c r="F1071" t="inlineStr">
        <is>
          <t>Holmen skog AB</t>
        </is>
      </c>
      <c r="G1071" t="n">
        <v>5.2</v>
      </c>
      <c r="H1071" t="n">
        <v>0</v>
      </c>
      <c r="I1071" t="n">
        <v>2</v>
      </c>
      <c r="J1071" t="n">
        <v>0</v>
      </c>
      <c r="K1071" t="n">
        <v>0</v>
      </c>
      <c r="L1071" t="n">
        <v>0</v>
      </c>
      <c r="M1071" t="n">
        <v>0</v>
      </c>
      <c r="N1071" t="n">
        <v>0</v>
      </c>
      <c r="O1071" t="n">
        <v>0</v>
      </c>
      <c r="P1071" t="n">
        <v>0</v>
      </c>
      <c r="Q1071" t="n">
        <v>2</v>
      </c>
      <c r="R1071" s="2" t="inlineStr">
        <is>
          <t>Skinnlav
Vedticka</t>
        </is>
      </c>
      <c r="S1071">
        <f>HYPERLINK("https://klasma.github.io/Logging_2404/artfynd/A 54363-2024 artfynd.xlsx", "A 54363-2024")</f>
        <v/>
      </c>
      <c r="T1071">
        <f>HYPERLINK("https://klasma.github.io/Logging_2404/kartor/A 54363-2024 karta.png", "A 54363-2024")</f>
        <v/>
      </c>
      <c r="V1071">
        <f>HYPERLINK("https://klasma.github.io/Logging_2404/klagomål/A 54363-2024 FSC-klagomål.docx", "A 54363-2024")</f>
        <v/>
      </c>
      <c r="W1071">
        <f>HYPERLINK("https://klasma.github.io/Logging_2404/klagomålsmail/A 54363-2024 FSC-klagomål mail.docx", "A 54363-2024")</f>
        <v/>
      </c>
      <c r="X1071">
        <f>HYPERLINK("https://klasma.github.io/Logging_2404/tillsyn/A 54363-2024 tillsynsbegäran.docx", "A 54363-2024")</f>
        <v/>
      </c>
      <c r="Y1071">
        <f>HYPERLINK("https://klasma.github.io/Logging_2404/tillsynsmail/A 54363-2024 tillsynsbegäran mail.docx", "A 54363-2024")</f>
        <v/>
      </c>
    </row>
    <row r="1072" ht="15" customHeight="1">
      <c r="A1072" t="inlineStr">
        <is>
          <t>A 54779-2024</t>
        </is>
      </c>
      <c r="B1072" s="1" t="n">
        <v>45618</v>
      </c>
      <c r="C1072" s="1" t="n">
        <v>45788</v>
      </c>
      <c r="D1072" t="inlineStr">
        <is>
          <t>VÄSTERBOTTENS LÄN</t>
        </is>
      </c>
      <c r="E1072" t="inlineStr">
        <is>
          <t>VILHELMINA</t>
        </is>
      </c>
      <c r="F1072" t="inlineStr">
        <is>
          <t>SCA</t>
        </is>
      </c>
      <c r="G1072" t="n">
        <v>10.3</v>
      </c>
      <c r="H1072" t="n">
        <v>0</v>
      </c>
      <c r="I1072" t="n">
        <v>0</v>
      </c>
      <c r="J1072" t="n">
        <v>2</v>
      </c>
      <c r="K1072" t="n">
        <v>0</v>
      </c>
      <c r="L1072" t="n">
        <v>0</v>
      </c>
      <c r="M1072" t="n">
        <v>0</v>
      </c>
      <c r="N1072" t="n">
        <v>0</v>
      </c>
      <c r="O1072" t="n">
        <v>2</v>
      </c>
      <c r="P1072" t="n">
        <v>0</v>
      </c>
      <c r="Q1072" t="n">
        <v>2</v>
      </c>
      <c r="R1072" s="2" t="inlineStr">
        <is>
          <t>Gammelgransskål
Harticka</t>
        </is>
      </c>
      <c r="S1072">
        <f>HYPERLINK("https://klasma.github.io/Logging_2462/artfynd/A 54779-2024 artfynd.xlsx", "A 54779-2024")</f>
        <v/>
      </c>
      <c r="T1072">
        <f>HYPERLINK("https://klasma.github.io/Logging_2462/kartor/A 54779-2024 karta.png", "A 54779-2024")</f>
        <v/>
      </c>
      <c r="V1072">
        <f>HYPERLINK("https://klasma.github.io/Logging_2462/klagomål/A 54779-2024 FSC-klagomål.docx", "A 54779-2024")</f>
        <v/>
      </c>
      <c r="W1072">
        <f>HYPERLINK("https://klasma.github.io/Logging_2462/klagomålsmail/A 54779-2024 FSC-klagomål mail.docx", "A 54779-2024")</f>
        <v/>
      </c>
      <c r="X1072">
        <f>HYPERLINK("https://klasma.github.io/Logging_2462/tillsyn/A 54779-2024 tillsynsbegäran.docx", "A 54779-2024")</f>
        <v/>
      </c>
      <c r="Y1072">
        <f>HYPERLINK("https://klasma.github.io/Logging_2462/tillsynsmail/A 54779-2024 tillsynsbegäran mail.docx", "A 54779-2024")</f>
        <v/>
      </c>
    </row>
    <row r="1073" ht="15" customHeight="1">
      <c r="A1073" t="inlineStr">
        <is>
          <t>A 55198-2024</t>
        </is>
      </c>
      <c r="B1073" s="1" t="n">
        <v>45620</v>
      </c>
      <c r="C1073" s="1" t="n">
        <v>45788</v>
      </c>
      <c r="D1073" t="inlineStr">
        <is>
          <t>VÄSTERBOTTENS LÄN</t>
        </is>
      </c>
      <c r="E1073" t="inlineStr">
        <is>
          <t>SKELLEFTEÅ</t>
        </is>
      </c>
      <c r="G1073" t="n">
        <v>1.8</v>
      </c>
      <c r="H1073" t="n">
        <v>0</v>
      </c>
      <c r="I1073" t="n">
        <v>1</v>
      </c>
      <c r="J1073" t="n">
        <v>1</v>
      </c>
      <c r="K1073" t="n">
        <v>0</v>
      </c>
      <c r="L1073" t="n">
        <v>0</v>
      </c>
      <c r="M1073" t="n">
        <v>0</v>
      </c>
      <c r="N1073" t="n">
        <v>0</v>
      </c>
      <c r="O1073" t="n">
        <v>1</v>
      </c>
      <c r="P1073" t="n">
        <v>0</v>
      </c>
      <c r="Q1073" t="n">
        <v>2</v>
      </c>
      <c r="R1073" s="2" t="inlineStr">
        <is>
          <t>Blanksvart spiklav
Nästlav</t>
        </is>
      </c>
      <c r="S1073">
        <f>HYPERLINK("https://klasma.github.io/Logging_2482/artfynd/A 55198-2024 artfynd.xlsx", "A 55198-2024")</f>
        <v/>
      </c>
      <c r="T1073">
        <f>HYPERLINK("https://klasma.github.io/Logging_2482/kartor/A 55198-2024 karta.png", "A 55198-2024")</f>
        <v/>
      </c>
      <c r="V1073">
        <f>HYPERLINK("https://klasma.github.io/Logging_2482/klagomål/A 55198-2024 FSC-klagomål.docx", "A 55198-2024")</f>
        <v/>
      </c>
      <c r="W1073">
        <f>HYPERLINK("https://klasma.github.io/Logging_2482/klagomålsmail/A 55198-2024 FSC-klagomål mail.docx", "A 55198-2024")</f>
        <v/>
      </c>
      <c r="X1073">
        <f>HYPERLINK("https://klasma.github.io/Logging_2482/tillsyn/A 55198-2024 tillsynsbegäran.docx", "A 55198-2024")</f>
        <v/>
      </c>
      <c r="Y1073">
        <f>HYPERLINK("https://klasma.github.io/Logging_2482/tillsynsmail/A 55198-2024 tillsynsbegäran mail.docx", "A 55198-2024")</f>
        <v/>
      </c>
    </row>
    <row r="1074" ht="15" customHeight="1">
      <c r="A1074" t="inlineStr">
        <is>
          <t>A 56045-2024</t>
        </is>
      </c>
      <c r="B1074" s="1" t="n">
        <v>45624</v>
      </c>
      <c r="C1074" s="1" t="n">
        <v>45788</v>
      </c>
      <c r="D1074" t="inlineStr">
        <is>
          <t>VÄSTERBOTTENS LÄN</t>
        </is>
      </c>
      <c r="E1074" t="inlineStr">
        <is>
          <t>LYCKSELE</t>
        </is>
      </c>
      <c r="F1074" t="inlineStr">
        <is>
          <t>Sveaskog</t>
        </is>
      </c>
      <c r="G1074" t="n">
        <v>11.6</v>
      </c>
      <c r="H1074" t="n">
        <v>0</v>
      </c>
      <c r="I1074" t="n">
        <v>1</v>
      </c>
      <c r="J1074" t="n">
        <v>1</v>
      </c>
      <c r="K1074" t="n">
        <v>0</v>
      </c>
      <c r="L1074" t="n">
        <v>0</v>
      </c>
      <c r="M1074" t="n">
        <v>0</v>
      </c>
      <c r="N1074" t="n">
        <v>0</v>
      </c>
      <c r="O1074" t="n">
        <v>1</v>
      </c>
      <c r="P1074" t="n">
        <v>0</v>
      </c>
      <c r="Q1074" t="n">
        <v>2</v>
      </c>
      <c r="R1074" s="2" t="inlineStr">
        <is>
          <t>Kolflarnlav
Dropptaggsvamp</t>
        </is>
      </c>
      <c r="S1074">
        <f>HYPERLINK("https://klasma.github.io/Logging_2481/artfynd/A 56045-2024 artfynd.xlsx", "A 56045-2024")</f>
        <v/>
      </c>
      <c r="T1074">
        <f>HYPERLINK("https://klasma.github.io/Logging_2481/kartor/A 56045-2024 karta.png", "A 56045-2024")</f>
        <v/>
      </c>
      <c r="V1074">
        <f>HYPERLINK("https://klasma.github.io/Logging_2481/klagomål/A 56045-2024 FSC-klagomål.docx", "A 56045-2024")</f>
        <v/>
      </c>
      <c r="W1074">
        <f>HYPERLINK("https://klasma.github.io/Logging_2481/klagomålsmail/A 56045-2024 FSC-klagomål mail.docx", "A 56045-2024")</f>
        <v/>
      </c>
      <c r="X1074">
        <f>HYPERLINK("https://klasma.github.io/Logging_2481/tillsyn/A 56045-2024 tillsynsbegäran.docx", "A 56045-2024")</f>
        <v/>
      </c>
      <c r="Y1074">
        <f>HYPERLINK("https://klasma.github.io/Logging_2481/tillsynsmail/A 56045-2024 tillsynsbegäran mail.docx", "A 56045-2024")</f>
        <v/>
      </c>
    </row>
    <row r="1075" ht="15" customHeight="1">
      <c r="A1075" t="inlineStr">
        <is>
          <t>A 57060-2024</t>
        </is>
      </c>
      <c r="B1075" s="1" t="n">
        <v>45629</v>
      </c>
      <c r="C1075" s="1" t="n">
        <v>45788</v>
      </c>
      <c r="D1075" t="inlineStr">
        <is>
          <t>VÄSTERBOTTENS LÄN</t>
        </is>
      </c>
      <c r="E1075" t="inlineStr">
        <is>
          <t>DOROTEA</t>
        </is>
      </c>
      <c r="F1075" t="inlineStr">
        <is>
          <t>SCA</t>
        </is>
      </c>
      <c r="G1075" t="n">
        <v>8.9</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HYPERLINK("https://klasma.github.io/Logging_2425/artfynd/A 57060-2024 artfynd.xlsx", "A 57060-2024")</f>
        <v/>
      </c>
      <c r="T1075">
        <f>HYPERLINK("https://klasma.github.io/Logging_2425/kartor/A 57060-2024 karta.png", "A 57060-2024")</f>
        <v/>
      </c>
      <c r="V1075">
        <f>HYPERLINK("https://klasma.github.io/Logging_2425/klagomål/A 57060-2024 FSC-klagomål.docx", "A 57060-2024")</f>
        <v/>
      </c>
      <c r="W1075">
        <f>HYPERLINK("https://klasma.github.io/Logging_2425/klagomålsmail/A 57060-2024 FSC-klagomål mail.docx", "A 57060-2024")</f>
        <v/>
      </c>
      <c r="X1075">
        <f>HYPERLINK("https://klasma.github.io/Logging_2425/tillsyn/A 57060-2024 tillsynsbegäran.docx", "A 57060-2024")</f>
        <v/>
      </c>
      <c r="Y1075">
        <f>HYPERLINK("https://klasma.github.io/Logging_2425/tillsynsmail/A 57060-2024 tillsynsbegäran mail.docx", "A 57060-2024")</f>
        <v/>
      </c>
    </row>
    <row r="1076" ht="15" customHeight="1">
      <c r="A1076" t="inlineStr">
        <is>
          <t>A 57222-2024</t>
        </is>
      </c>
      <c r="B1076" s="1" t="n">
        <v>45629</v>
      </c>
      <c r="C1076" s="1" t="n">
        <v>45788</v>
      </c>
      <c r="D1076" t="inlineStr">
        <is>
          <t>VÄSTERBOTTENS LÄN</t>
        </is>
      </c>
      <c r="E1076" t="inlineStr">
        <is>
          <t>SKELLEFTEÅ</t>
        </is>
      </c>
      <c r="F1076" t="inlineStr">
        <is>
          <t>Holmen skog AB</t>
        </is>
      </c>
      <c r="G1076" t="n">
        <v>3.9</v>
      </c>
      <c r="H1076" t="n">
        <v>1</v>
      </c>
      <c r="I1076" t="n">
        <v>0</v>
      </c>
      <c r="J1076" t="n">
        <v>1</v>
      </c>
      <c r="K1076" t="n">
        <v>1</v>
      </c>
      <c r="L1076" t="n">
        <v>0</v>
      </c>
      <c r="M1076" t="n">
        <v>0</v>
      </c>
      <c r="N1076" t="n">
        <v>0</v>
      </c>
      <c r="O1076" t="n">
        <v>2</v>
      </c>
      <c r="P1076" t="n">
        <v>1</v>
      </c>
      <c r="Q1076" t="n">
        <v>2</v>
      </c>
      <c r="R1076" s="2" t="inlineStr">
        <is>
          <t>Knärot
Gammelgransskål</t>
        </is>
      </c>
      <c r="S1076">
        <f>HYPERLINK("https://klasma.github.io/Logging_2482/artfynd/A 57222-2024 artfynd.xlsx", "A 57222-2024")</f>
        <v/>
      </c>
      <c r="T1076">
        <f>HYPERLINK("https://klasma.github.io/Logging_2482/kartor/A 57222-2024 karta.png", "A 57222-2024")</f>
        <v/>
      </c>
      <c r="U1076">
        <f>HYPERLINK("https://klasma.github.io/Logging_2482/knärot/A 57222-2024 karta knärot.png", "A 57222-2024")</f>
        <v/>
      </c>
      <c r="V1076">
        <f>HYPERLINK("https://klasma.github.io/Logging_2482/klagomål/A 57222-2024 FSC-klagomål.docx", "A 57222-2024")</f>
        <v/>
      </c>
      <c r="W1076">
        <f>HYPERLINK("https://klasma.github.io/Logging_2482/klagomålsmail/A 57222-2024 FSC-klagomål mail.docx", "A 57222-2024")</f>
        <v/>
      </c>
      <c r="X1076">
        <f>HYPERLINK("https://klasma.github.io/Logging_2482/tillsyn/A 57222-2024 tillsynsbegäran.docx", "A 57222-2024")</f>
        <v/>
      </c>
      <c r="Y1076">
        <f>HYPERLINK("https://klasma.github.io/Logging_2482/tillsynsmail/A 57222-2024 tillsynsbegäran mail.docx", "A 57222-2024")</f>
        <v/>
      </c>
    </row>
    <row r="1077" ht="15" customHeight="1">
      <c r="A1077" t="inlineStr">
        <is>
          <t>A 57565-2024</t>
        </is>
      </c>
      <c r="B1077" s="1" t="n">
        <v>45630</v>
      </c>
      <c r="C1077" s="1" t="n">
        <v>45788</v>
      </c>
      <c r="D1077" t="inlineStr">
        <is>
          <t>VÄSTERBOTTENS LÄN</t>
        </is>
      </c>
      <c r="E1077" t="inlineStr">
        <is>
          <t>SKELLEFTEÅ</t>
        </is>
      </c>
      <c r="F1077" t="inlineStr">
        <is>
          <t>Sveaskog</t>
        </is>
      </c>
      <c r="G1077" t="n">
        <v>5.5</v>
      </c>
      <c r="H1077" t="n">
        <v>1</v>
      </c>
      <c r="I1077" t="n">
        <v>0</v>
      </c>
      <c r="J1077" t="n">
        <v>2</v>
      </c>
      <c r="K1077" t="n">
        <v>0</v>
      </c>
      <c r="L1077" t="n">
        <v>0</v>
      </c>
      <c r="M1077" t="n">
        <v>0</v>
      </c>
      <c r="N1077" t="n">
        <v>0</v>
      </c>
      <c r="O1077" t="n">
        <v>2</v>
      </c>
      <c r="P1077" t="n">
        <v>0</v>
      </c>
      <c r="Q1077" t="n">
        <v>2</v>
      </c>
      <c r="R1077" s="2" t="inlineStr">
        <is>
          <t>Garnlav
Spillkråka</t>
        </is>
      </c>
      <c r="S1077">
        <f>HYPERLINK("https://klasma.github.io/Logging_2482/artfynd/A 57565-2024 artfynd.xlsx", "A 57565-2024")</f>
        <v/>
      </c>
      <c r="T1077">
        <f>HYPERLINK("https://klasma.github.io/Logging_2482/kartor/A 57565-2024 karta.png", "A 57565-2024")</f>
        <v/>
      </c>
      <c r="V1077">
        <f>HYPERLINK("https://klasma.github.io/Logging_2482/klagomål/A 57565-2024 FSC-klagomål.docx", "A 57565-2024")</f>
        <v/>
      </c>
      <c r="W1077">
        <f>HYPERLINK("https://klasma.github.io/Logging_2482/klagomålsmail/A 57565-2024 FSC-klagomål mail.docx", "A 57565-2024")</f>
        <v/>
      </c>
      <c r="X1077">
        <f>HYPERLINK("https://klasma.github.io/Logging_2482/tillsyn/A 57565-2024 tillsynsbegäran.docx", "A 57565-2024")</f>
        <v/>
      </c>
      <c r="Y1077">
        <f>HYPERLINK("https://klasma.github.io/Logging_2482/tillsynsmail/A 57565-2024 tillsynsbegäran mail.docx", "A 57565-2024")</f>
        <v/>
      </c>
      <c r="Z1077">
        <f>HYPERLINK("https://klasma.github.io/Logging_2482/fåglar/A 57565-2024 prioriterade fågelarter.docx", "A 57565-2024")</f>
        <v/>
      </c>
    </row>
    <row r="1078" ht="15" customHeight="1">
      <c r="A1078" t="inlineStr">
        <is>
          <t>A 57675-2024</t>
        </is>
      </c>
      <c r="B1078" s="1" t="n">
        <v>45630</v>
      </c>
      <c r="C1078" s="1" t="n">
        <v>45788</v>
      </c>
      <c r="D1078" t="inlineStr">
        <is>
          <t>VÄSTERBOTTENS LÄN</t>
        </is>
      </c>
      <c r="E1078" t="inlineStr">
        <is>
          <t>VINDELN</t>
        </is>
      </c>
      <c r="F1078" t="inlineStr">
        <is>
          <t>SCA</t>
        </is>
      </c>
      <c r="G1078" t="n">
        <v>1</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HYPERLINK("https://klasma.github.io/Logging_2404/artfynd/A 57675-2024 artfynd.xlsx", "A 57675-2024")</f>
        <v/>
      </c>
      <c r="T1078">
        <f>HYPERLINK("https://klasma.github.io/Logging_2404/kartor/A 57675-2024 karta.png", "A 57675-2024")</f>
        <v/>
      </c>
      <c r="V1078">
        <f>HYPERLINK("https://klasma.github.io/Logging_2404/klagomål/A 57675-2024 FSC-klagomål.docx", "A 57675-2024")</f>
        <v/>
      </c>
      <c r="W1078">
        <f>HYPERLINK("https://klasma.github.io/Logging_2404/klagomålsmail/A 57675-2024 FSC-klagomål mail.docx", "A 57675-2024")</f>
        <v/>
      </c>
      <c r="X1078">
        <f>HYPERLINK("https://klasma.github.io/Logging_2404/tillsyn/A 57675-2024 tillsynsbegäran.docx", "A 57675-2024")</f>
        <v/>
      </c>
      <c r="Y1078">
        <f>HYPERLINK("https://klasma.github.io/Logging_2404/tillsynsmail/A 57675-2024 tillsynsbegäran mail.docx", "A 57675-2024")</f>
        <v/>
      </c>
    </row>
    <row r="1079" ht="15" customHeight="1">
      <c r="A1079" t="inlineStr">
        <is>
          <t>A 57801-2024</t>
        </is>
      </c>
      <c r="B1079" s="1" t="n">
        <v>45631</v>
      </c>
      <c r="C1079" s="1" t="n">
        <v>45788</v>
      </c>
      <c r="D1079" t="inlineStr">
        <is>
          <t>VÄSTERBOTTENS LÄN</t>
        </is>
      </c>
      <c r="E1079" t="inlineStr">
        <is>
          <t>MALÅ</t>
        </is>
      </c>
      <c r="G1079" t="n">
        <v>4</v>
      </c>
      <c r="H1079" t="n">
        <v>1</v>
      </c>
      <c r="I1079" t="n">
        <v>0</v>
      </c>
      <c r="J1079" t="n">
        <v>1</v>
      </c>
      <c r="K1079" t="n">
        <v>0</v>
      </c>
      <c r="L1079" t="n">
        <v>0</v>
      </c>
      <c r="M1079" t="n">
        <v>0</v>
      </c>
      <c r="N1079" t="n">
        <v>0</v>
      </c>
      <c r="O1079" t="n">
        <v>1</v>
      </c>
      <c r="P1079" t="n">
        <v>0</v>
      </c>
      <c r="Q1079" t="n">
        <v>2</v>
      </c>
      <c r="R1079" s="2" t="inlineStr">
        <is>
          <t>Rosenticka
Revlummer</t>
        </is>
      </c>
      <c r="S1079">
        <f>HYPERLINK("https://klasma.github.io/Logging_2418/artfynd/A 57801-2024 artfynd.xlsx", "A 57801-2024")</f>
        <v/>
      </c>
      <c r="T1079">
        <f>HYPERLINK("https://klasma.github.io/Logging_2418/kartor/A 57801-2024 karta.png", "A 57801-2024")</f>
        <v/>
      </c>
      <c r="V1079">
        <f>HYPERLINK("https://klasma.github.io/Logging_2418/klagomål/A 57801-2024 FSC-klagomål.docx", "A 57801-2024")</f>
        <v/>
      </c>
      <c r="W1079">
        <f>HYPERLINK("https://klasma.github.io/Logging_2418/klagomålsmail/A 57801-2024 FSC-klagomål mail.docx", "A 57801-2024")</f>
        <v/>
      </c>
      <c r="X1079">
        <f>HYPERLINK("https://klasma.github.io/Logging_2418/tillsyn/A 57801-2024 tillsynsbegäran.docx", "A 57801-2024")</f>
        <v/>
      </c>
      <c r="Y1079">
        <f>HYPERLINK("https://klasma.github.io/Logging_2418/tillsynsmail/A 57801-2024 tillsynsbegäran mail.docx", "A 57801-2024")</f>
        <v/>
      </c>
    </row>
    <row r="1080" ht="15" customHeight="1">
      <c r="A1080" t="inlineStr">
        <is>
          <t>A 57851-2024</t>
        </is>
      </c>
      <c r="B1080" s="1" t="n">
        <v>45631</v>
      </c>
      <c r="C1080" s="1" t="n">
        <v>45788</v>
      </c>
      <c r="D1080" t="inlineStr">
        <is>
          <t>VÄSTERBOTTENS LÄN</t>
        </is>
      </c>
      <c r="E1080" t="inlineStr">
        <is>
          <t>SKELLEFTEÅ</t>
        </is>
      </c>
      <c r="F1080" t="inlineStr">
        <is>
          <t>Sveaskog</t>
        </is>
      </c>
      <c r="G1080" t="n">
        <v>15.7</v>
      </c>
      <c r="H1080" t="n">
        <v>2</v>
      </c>
      <c r="I1080" t="n">
        <v>0</v>
      </c>
      <c r="J1080" t="n">
        <v>0</v>
      </c>
      <c r="K1080" t="n">
        <v>0</v>
      </c>
      <c r="L1080" t="n">
        <v>0</v>
      </c>
      <c r="M1080" t="n">
        <v>0</v>
      </c>
      <c r="N1080" t="n">
        <v>0</v>
      </c>
      <c r="O1080" t="n">
        <v>0</v>
      </c>
      <c r="P1080" t="n">
        <v>0</v>
      </c>
      <c r="Q1080" t="n">
        <v>2</v>
      </c>
      <c r="R1080" s="2" t="inlineStr">
        <is>
          <t>Fläcknycklar
Revlummer</t>
        </is>
      </c>
      <c r="S1080">
        <f>HYPERLINK("https://klasma.github.io/Logging_2482/artfynd/A 57851-2024 artfynd.xlsx", "A 57851-2024")</f>
        <v/>
      </c>
      <c r="T1080">
        <f>HYPERLINK("https://klasma.github.io/Logging_2482/kartor/A 57851-2024 karta.png", "A 57851-2024")</f>
        <v/>
      </c>
      <c r="V1080">
        <f>HYPERLINK("https://klasma.github.io/Logging_2482/klagomål/A 57851-2024 FSC-klagomål.docx", "A 57851-2024")</f>
        <v/>
      </c>
      <c r="W1080">
        <f>HYPERLINK("https://klasma.github.io/Logging_2482/klagomålsmail/A 57851-2024 FSC-klagomål mail.docx", "A 57851-2024")</f>
        <v/>
      </c>
      <c r="X1080">
        <f>HYPERLINK("https://klasma.github.io/Logging_2482/tillsyn/A 57851-2024 tillsynsbegäran.docx", "A 57851-2024")</f>
        <v/>
      </c>
      <c r="Y1080">
        <f>HYPERLINK("https://klasma.github.io/Logging_2482/tillsynsmail/A 57851-2024 tillsynsbegäran mail.docx", "A 57851-2024")</f>
        <v/>
      </c>
    </row>
    <row r="1081" ht="15" customHeight="1">
      <c r="A1081" t="inlineStr">
        <is>
          <t>A 60379-2024</t>
        </is>
      </c>
      <c r="B1081" s="1" t="n">
        <v>45643</v>
      </c>
      <c r="C1081" s="1" t="n">
        <v>45788</v>
      </c>
      <c r="D1081" t="inlineStr">
        <is>
          <t>VÄSTERBOTTENS LÄN</t>
        </is>
      </c>
      <c r="E1081" t="inlineStr">
        <is>
          <t>VILHELMINA</t>
        </is>
      </c>
      <c r="F1081" t="inlineStr">
        <is>
          <t>SCA</t>
        </is>
      </c>
      <c r="G1081" t="n">
        <v>12.4</v>
      </c>
      <c r="H1081" t="n">
        <v>0</v>
      </c>
      <c r="I1081" t="n">
        <v>0</v>
      </c>
      <c r="J1081" t="n">
        <v>2</v>
      </c>
      <c r="K1081" t="n">
        <v>0</v>
      </c>
      <c r="L1081" t="n">
        <v>0</v>
      </c>
      <c r="M1081" t="n">
        <v>0</v>
      </c>
      <c r="N1081" t="n">
        <v>0</v>
      </c>
      <c r="O1081" t="n">
        <v>2</v>
      </c>
      <c r="P1081" t="n">
        <v>0</v>
      </c>
      <c r="Q1081" t="n">
        <v>2</v>
      </c>
      <c r="R1081" s="2" t="inlineStr">
        <is>
          <t>Skrovellav
Ullticka</t>
        </is>
      </c>
      <c r="S1081">
        <f>HYPERLINK("https://klasma.github.io/Logging_2462/artfynd/A 60379-2024 artfynd.xlsx", "A 60379-2024")</f>
        <v/>
      </c>
      <c r="T1081">
        <f>HYPERLINK("https://klasma.github.io/Logging_2462/kartor/A 60379-2024 karta.png", "A 60379-2024")</f>
        <v/>
      </c>
      <c r="V1081">
        <f>HYPERLINK("https://klasma.github.io/Logging_2462/klagomål/A 60379-2024 FSC-klagomål.docx", "A 60379-2024")</f>
        <v/>
      </c>
      <c r="W1081">
        <f>HYPERLINK("https://klasma.github.io/Logging_2462/klagomålsmail/A 60379-2024 FSC-klagomål mail.docx", "A 60379-2024")</f>
        <v/>
      </c>
      <c r="X1081">
        <f>HYPERLINK("https://klasma.github.io/Logging_2462/tillsyn/A 60379-2024 tillsynsbegäran.docx", "A 60379-2024")</f>
        <v/>
      </c>
      <c r="Y1081">
        <f>HYPERLINK("https://klasma.github.io/Logging_2462/tillsynsmail/A 60379-2024 tillsynsbegäran mail.docx", "A 60379-2024")</f>
        <v/>
      </c>
    </row>
    <row r="1082" ht="15" customHeight="1">
      <c r="A1082" t="inlineStr">
        <is>
          <t>A 61172-2024</t>
        </is>
      </c>
      <c r="B1082" s="1" t="n">
        <v>45645</v>
      </c>
      <c r="C1082" s="1" t="n">
        <v>45788</v>
      </c>
      <c r="D1082" t="inlineStr">
        <is>
          <t>VÄSTERBOTTENS LÄN</t>
        </is>
      </c>
      <c r="E1082" t="inlineStr">
        <is>
          <t>BJURHOLM</t>
        </is>
      </c>
      <c r="G1082" t="n">
        <v>4.6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HYPERLINK("https://klasma.github.io/Logging_2403/artfynd/A 61172-2024 artfynd.xlsx", "A 61172-2024")</f>
        <v/>
      </c>
      <c r="T1082">
        <f>HYPERLINK("https://klasma.github.io/Logging_2403/kartor/A 61172-2024 karta.png", "A 61172-2024")</f>
        <v/>
      </c>
      <c r="V1082">
        <f>HYPERLINK("https://klasma.github.io/Logging_2403/klagomål/A 61172-2024 FSC-klagomål.docx", "A 61172-2024")</f>
        <v/>
      </c>
      <c r="W1082">
        <f>HYPERLINK("https://klasma.github.io/Logging_2403/klagomålsmail/A 61172-2024 FSC-klagomål mail.docx", "A 61172-2024")</f>
        <v/>
      </c>
      <c r="X1082">
        <f>HYPERLINK("https://klasma.github.io/Logging_2403/tillsyn/A 61172-2024 tillsynsbegäran.docx", "A 61172-2024")</f>
        <v/>
      </c>
      <c r="Y1082">
        <f>HYPERLINK("https://klasma.github.io/Logging_2403/tillsynsmail/A 61172-2024 tillsynsbegäran mail.docx", "A 61172-2024")</f>
        <v/>
      </c>
    </row>
    <row r="1083" ht="15" customHeight="1">
      <c r="A1083" t="inlineStr">
        <is>
          <t>A 1059-2025</t>
        </is>
      </c>
      <c r="B1083" s="1" t="n">
        <v>45666</v>
      </c>
      <c r="C1083" s="1" t="n">
        <v>45788</v>
      </c>
      <c r="D1083" t="inlineStr">
        <is>
          <t>VÄSTERBOTTENS LÄN</t>
        </is>
      </c>
      <c r="E1083" t="inlineStr">
        <is>
          <t>VINDELN</t>
        </is>
      </c>
      <c r="F1083" t="inlineStr">
        <is>
          <t>SCA</t>
        </is>
      </c>
      <c r="G1083" t="n">
        <v>4.4</v>
      </c>
      <c r="H1083" t="n">
        <v>1</v>
      </c>
      <c r="I1083" t="n">
        <v>0</v>
      </c>
      <c r="J1083" t="n">
        <v>2</v>
      </c>
      <c r="K1083" t="n">
        <v>0</v>
      </c>
      <c r="L1083" t="n">
        <v>0</v>
      </c>
      <c r="M1083" t="n">
        <v>0</v>
      </c>
      <c r="N1083" t="n">
        <v>0</v>
      </c>
      <c r="O1083" t="n">
        <v>2</v>
      </c>
      <c r="P1083" t="n">
        <v>0</v>
      </c>
      <c r="Q1083" t="n">
        <v>2</v>
      </c>
      <c r="R1083" s="2" t="inlineStr">
        <is>
          <t>Garnlav
Talltita</t>
        </is>
      </c>
      <c r="S1083">
        <f>HYPERLINK("https://klasma.github.io/Logging_2404/artfynd/A 1059-2025 artfynd.xlsx", "A 1059-2025")</f>
        <v/>
      </c>
      <c r="T1083">
        <f>HYPERLINK("https://klasma.github.io/Logging_2404/kartor/A 1059-2025 karta.png", "A 1059-2025")</f>
        <v/>
      </c>
      <c r="V1083">
        <f>HYPERLINK("https://klasma.github.io/Logging_2404/klagomål/A 1059-2025 FSC-klagomål.docx", "A 1059-2025")</f>
        <v/>
      </c>
      <c r="W1083">
        <f>HYPERLINK("https://klasma.github.io/Logging_2404/klagomålsmail/A 1059-2025 FSC-klagomål mail.docx", "A 1059-2025")</f>
        <v/>
      </c>
      <c r="X1083">
        <f>HYPERLINK("https://klasma.github.io/Logging_2404/tillsyn/A 1059-2025 tillsynsbegäran.docx", "A 1059-2025")</f>
        <v/>
      </c>
      <c r="Y1083">
        <f>HYPERLINK("https://klasma.github.io/Logging_2404/tillsynsmail/A 1059-2025 tillsynsbegäran mail.docx", "A 1059-2025")</f>
        <v/>
      </c>
      <c r="Z1083">
        <f>HYPERLINK("https://klasma.github.io/Logging_2404/fåglar/A 1059-2025 prioriterade fågelarter.docx", "A 1059-2025")</f>
        <v/>
      </c>
    </row>
    <row r="1084" ht="15" customHeight="1">
      <c r="A1084" t="inlineStr">
        <is>
          <t>A 5110-2025</t>
        </is>
      </c>
      <c r="B1084" s="1" t="n">
        <v>45691</v>
      </c>
      <c r="C1084" s="1" t="n">
        <v>45788</v>
      </c>
      <c r="D1084" t="inlineStr">
        <is>
          <t>VÄSTERBOTTENS LÄN</t>
        </is>
      </c>
      <c r="E1084" t="inlineStr">
        <is>
          <t>SKELLEFTEÅ</t>
        </is>
      </c>
      <c r="G1084" t="n">
        <v>3.5</v>
      </c>
      <c r="H1084" t="n">
        <v>0</v>
      </c>
      <c r="I1084" t="n">
        <v>0</v>
      </c>
      <c r="J1084" t="n">
        <v>2</v>
      </c>
      <c r="K1084" t="n">
        <v>0</v>
      </c>
      <c r="L1084" t="n">
        <v>0</v>
      </c>
      <c r="M1084" t="n">
        <v>0</v>
      </c>
      <c r="N1084" t="n">
        <v>0</v>
      </c>
      <c r="O1084" t="n">
        <v>2</v>
      </c>
      <c r="P1084" t="n">
        <v>0</v>
      </c>
      <c r="Q1084" t="n">
        <v>2</v>
      </c>
      <c r="R1084" s="2" t="inlineStr">
        <is>
          <t>Gammelgransskål
Harticka</t>
        </is>
      </c>
      <c r="S1084">
        <f>HYPERLINK("https://klasma.github.io/Logging_2482/artfynd/A 5110-2025 artfynd.xlsx", "A 5110-2025")</f>
        <v/>
      </c>
      <c r="T1084">
        <f>HYPERLINK("https://klasma.github.io/Logging_2482/kartor/A 5110-2025 karta.png", "A 5110-2025")</f>
        <v/>
      </c>
      <c r="V1084">
        <f>HYPERLINK("https://klasma.github.io/Logging_2482/klagomål/A 5110-2025 FSC-klagomål.docx", "A 5110-2025")</f>
        <v/>
      </c>
      <c r="W1084">
        <f>HYPERLINK("https://klasma.github.io/Logging_2482/klagomålsmail/A 5110-2025 FSC-klagomål mail.docx", "A 5110-2025")</f>
        <v/>
      </c>
      <c r="X1084">
        <f>HYPERLINK("https://klasma.github.io/Logging_2482/tillsyn/A 5110-2025 tillsynsbegäran.docx", "A 5110-2025")</f>
        <v/>
      </c>
      <c r="Y1084">
        <f>HYPERLINK("https://klasma.github.io/Logging_2482/tillsynsmail/A 5110-2025 tillsynsbegäran mail.docx", "A 5110-2025")</f>
        <v/>
      </c>
    </row>
    <row r="1085" ht="15" customHeight="1">
      <c r="A1085" t="inlineStr">
        <is>
          <t>A 4996-2025</t>
        </is>
      </c>
      <c r="B1085" s="1" t="n">
        <v>45691</v>
      </c>
      <c r="C1085" s="1" t="n">
        <v>45788</v>
      </c>
      <c r="D1085" t="inlineStr">
        <is>
          <t>VÄSTERBOTTENS LÄN</t>
        </is>
      </c>
      <c r="E1085" t="inlineStr">
        <is>
          <t>SKELLEFTEÅ</t>
        </is>
      </c>
      <c r="G1085" t="n">
        <v>25.4</v>
      </c>
      <c r="H1085" t="n">
        <v>0</v>
      </c>
      <c r="I1085" t="n">
        <v>0</v>
      </c>
      <c r="J1085" t="n">
        <v>2</v>
      </c>
      <c r="K1085" t="n">
        <v>0</v>
      </c>
      <c r="L1085" t="n">
        <v>0</v>
      </c>
      <c r="M1085" t="n">
        <v>0</v>
      </c>
      <c r="N1085" t="n">
        <v>0</v>
      </c>
      <c r="O1085" t="n">
        <v>2</v>
      </c>
      <c r="P1085" t="n">
        <v>0</v>
      </c>
      <c r="Q1085" t="n">
        <v>2</v>
      </c>
      <c r="R1085" s="2" t="inlineStr">
        <is>
          <t>Garnlav
Ullticka</t>
        </is>
      </c>
      <c r="S1085">
        <f>HYPERLINK("https://klasma.github.io/Logging_2482/artfynd/A 4996-2025 artfynd.xlsx", "A 4996-2025")</f>
        <v/>
      </c>
      <c r="T1085">
        <f>HYPERLINK("https://klasma.github.io/Logging_2482/kartor/A 4996-2025 karta.png", "A 4996-2025")</f>
        <v/>
      </c>
      <c r="U1085">
        <f>HYPERLINK("https://klasma.github.io/Logging_2482/knärot/A 4996-2025 karta knärot.png", "A 4996-2025")</f>
        <v/>
      </c>
      <c r="V1085">
        <f>HYPERLINK("https://klasma.github.io/Logging_2482/klagomål/A 4996-2025 FSC-klagomål.docx", "A 4996-2025")</f>
        <v/>
      </c>
      <c r="W1085">
        <f>HYPERLINK("https://klasma.github.io/Logging_2482/klagomålsmail/A 4996-2025 FSC-klagomål mail.docx", "A 4996-2025")</f>
        <v/>
      </c>
      <c r="X1085">
        <f>HYPERLINK("https://klasma.github.io/Logging_2482/tillsyn/A 4996-2025 tillsynsbegäran.docx", "A 4996-2025")</f>
        <v/>
      </c>
      <c r="Y1085">
        <f>HYPERLINK("https://klasma.github.io/Logging_2482/tillsynsmail/A 4996-2025 tillsynsbegäran mail.docx", "A 4996-2025")</f>
        <v/>
      </c>
    </row>
    <row r="1086" ht="15" customHeight="1">
      <c r="A1086" t="inlineStr">
        <is>
          <t>A 6031-2025</t>
        </is>
      </c>
      <c r="B1086" s="1" t="n">
        <v>45695</v>
      </c>
      <c r="C1086" s="1" t="n">
        <v>45788</v>
      </c>
      <c r="D1086" t="inlineStr">
        <is>
          <t>VÄSTERBOTTENS LÄN</t>
        </is>
      </c>
      <c r="E1086" t="inlineStr">
        <is>
          <t>LYCKSELE</t>
        </is>
      </c>
      <c r="F1086" t="inlineStr">
        <is>
          <t>SCA</t>
        </is>
      </c>
      <c r="G1086" t="n">
        <v>25.8</v>
      </c>
      <c r="H1086" t="n">
        <v>0</v>
      </c>
      <c r="I1086" t="n">
        <v>1</v>
      </c>
      <c r="J1086" t="n">
        <v>1</v>
      </c>
      <c r="K1086" t="n">
        <v>0</v>
      </c>
      <c r="L1086" t="n">
        <v>0</v>
      </c>
      <c r="M1086" t="n">
        <v>0</v>
      </c>
      <c r="N1086" t="n">
        <v>0</v>
      </c>
      <c r="O1086" t="n">
        <v>1</v>
      </c>
      <c r="P1086" t="n">
        <v>0</v>
      </c>
      <c r="Q1086" t="n">
        <v>2</v>
      </c>
      <c r="R1086" s="2" t="inlineStr">
        <is>
          <t>Skrovellav
Stuplav</t>
        </is>
      </c>
      <c r="S1086">
        <f>HYPERLINK("https://klasma.github.io/Logging_2481/artfynd/A 6031-2025 artfynd.xlsx", "A 6031-2025")</f>
        <v/>
      </c>
      <c r="T1086">
        <f>HYPERLINK("https://klasma.github.io/Logging_2481/kartor/A 6031-2025 karta.png", "A 6031-2025")</f>
        <v/>
      </c>
      <c r="V1086">
        <f>HYPERLINK("https://klasma.github.io/Logging_2481/klagomål/A 6031-2025 FSC-klagomål.docx", "A 6031-2025")</f>
        <v/>
      </c>
      <c r="W1086">
        <f>HYPERLINK("https://klasma.github.io/Logging_2481/klagomålsmail/A 6031-2025 FSC-klagomål mail.docx", "A 6031-2025")</f>
        <v/>
      </c>
      <c r="X1086">
        <f>HYPERLINK("https://klasma.github.io/Logging_2481/tillsyn/A 6031-2025 tillsynsbegäran.docx", "A 6031-2025")</f>
        <v/>
      </c>
      <c r="Y1086">
        <f>HYPERLINK("https://klasma.github.io/Logging_2481/tillsynsmail/A 6031-2025 tillsynsbegäran mail.docx", "A 6031-2025")</f>
        <v/>
      </c>
    </row>
    <row r="1087" ht="15" customHeight="1">
      <c r="A1087" t="inlineStr">
        <is>
          <t>A 7702-2025</t>
        </is>
      </c>
      <c r="B1087" s="1" t="n">
        <v>45706</v>
      </c>
      <c r="C1087" s="1" t="n">
        <v>45788</v>
      </c>
      <c r="D1087" t="inlineStr">
        <is>
          <t>VÄSTERBOTTENS LÄN</t>
        </is>
      </c>
      <c r="E1087" t="inlineStr">
        <is>
          <t>LYCKSELE</t>
        </is>
      </c>
      <c r="G1087" t="n">
        <v>3.5</v>
      </c>
      <c r="H1087" t="n">
        <v>1</v>
      </c>
      <c r="I1087" t="n">
        <v>0</v>
      </c>
      <c r="J1087" t="n">
        <v>1</v>
      </c>
      <c r="K1087" t="n">
        <v>0</v>
      </c>
      <c r="L1087" t="n">
        <v>0</v>
      </c>
      <c r="M1087" t="n">
        <v>0</v>
      </c>
      <c r="N1087" t="n">
        <v>0</v>
      </c>
      <c r="O1087" t="n">
        <v>1</v>
      </c>
      <c r="P1087" t="n">
        <v>0</v>
      </c>
      <c r="Q1087" t="n">
        <v>2</v>
      </c>
      <c r="R1087" s="2" t="inlineStr">
        <is>
          <t>Garnlav
Kungsfågel</t>
        </is>
      </c>
      <c r="S1087">
        <f>HYPERLINK("https://klasma.github.io/Logging_2481/artfynd/A 7702-2025 artfynd.xlsx", "A 7702-2025")</f>
        <v/>
      </c>
      <c r="T1087">
        <f>HYPERLINK("https://klasma.github.io/Logging_2481/kartor/A 7702-2025 karta.png", "A 7702-2025")</f>
        <v/>
      </c>
      <c r="V1087">
        <f>HYPERLINK("https://klasma.github.io/Logging_2481/klagomål/A 7702-2025 FSC-klagomål.docx", "A 7702-2025")</f>
        <v/>
      </c>
      <c r="W1087">
        <f>HYPERLINK("https://klasma.github.io/Logging_2481/klagomålsmail/A 7702-2025 FSC-klagomål mail.docx", "A 7702-2025")</f>
        <v/>
      </c>
      <c r="X1087">
        <f>HYPERLINK("https://klasma.github.io/Logging_2481/tillsyn/A 7702-2025 tillsynsbegäran.docx", "A 7702-2025")</f>
        <v/>
      </c>
      <c r="Y1087">
        <f>HYPERLINK("https://klasma.github.io/Logging_2481/tillsynsmail/A 7702-2025 tillsynsbegäran mail.docx", "A 7702-2025")</f>
        <v/>
      </c>
      <c r="Z1087">
        <f>HYPERLINK("https://klasma.github.io/Logging_2481/fåglar/A 7702-2025 prioriterade fågelarter.docx", "A 7702-2025")</f>
        <v/>
      </c>
    </row>
    <row r="1088" ht="15" customHeight="1">
      <c r="A1088" t="inlineStr">
        <is>
          <t>A 9699-2025</t>
        </is>
      </c>
      <c r="B1088" s="1" t="n">
        <v>45716</v>
      </c>
      <c r="C1088" s="1" t="n">
        <v>45788</v>
      </c>
      <c r="D1088" t="inlineStr">
        <is>
          <t>VÄSTERBOTTENS LÄN</t>
        </is>
      </c>
      <c r="E1088" t="inlineStr">
        <is>
          <t>SKELLEFTEÅ</t>
        </is>
      </c>
      <c r="G1088" t="n">
        <v>12</v>
      </c>
      <c r="H1088" t="n">
        <v>1</v>
      </c>
      <c r="I1088" t="n">
        <v>0</v>
      </c>
      <c r="J1088" t="n">
        <v>2</v>
      </c>
      <c r="K1088" t="n">
        <v>0</v>
      </c>
      <c r="L1088" t="n">
        <v>0</v>
      </c>
      <c r="M1088" t="n">
        <v>0</v>
      </c>
      <c r="N1088" t="n">
        <v>0</v>
      </c>
      <c r="O1088" t="n">
        <v>2</v>
      </c>
      <c r="P1088" t="n">
        <v>0</v>
      </c>
      <c r="Q1088" t="n">
        <v>2</v>
      </c>
      <c r="R1088" s="2" t="inlineStr">
        <is>
          <t>Spillkråka
Violettgrå tagellav</t>
        </is>
      </c>
      <c r="S1088">
        <f>HYPERLINK("https://klasma.github.io/Logging_242482/artfynd/A 9699-2025 artfynd.xlsx", "A 9699-2025")</f>
        <v/>
      </c>
      <c r="T1088">
        <f>HYPERLINK("https://klasma.github.io/Logging_242482/kartor/A 9699-2025 karta.png", "A 9699-2025")</f>
        <v/>
      </c>
      <c r="V1088">
        <f>HYPERLINK("https://klasma.github.io/Logging_242482/klagomål/A 9699-2025 FSC-klagomål.docx", "A 9699-2025")</f>
        <v/>
      </c>
      <c r="W1088">
        <f>HYPERLINK("https://klasma.github.io/Logging_242482/klagomålsmail/A 9699-2025 FSC-klagomål mail.docx", "A 9699-2025")</f>
        <v/>
      </c>
      <c r="X1088">
        <f>HYPERLINK("https://klasma.github.io/Logging_242482/tillsyn/A 9699-2025 tillsynsbegäran.docx", "A 9699-2025")</f>
        <v/>
      </c>
      <c r="Y1088">
        <f>HYPERLINK("https://klasma.github.io/Logging_242482/tillsynsmail/A 9699-2025 tillsynsbegäran mail.docx", "A 9699-2025")</f>
        <v/>
      </c>
      <c r="Z1088">
        <f>HYPERLINK("https://klasma.github.io/Logging_242482/fåglar/A 9699-2025 prioriterade fågelarter.docx", "A 9699-2025")</f>
        <v/>
      </c>
    </row>
    <row r="1089" ht="15" customHeight="1">
      <c r="A1089" t="inlineStr">
        <is>
          <t>A 13645-2025</t>
        </is>
      </c>
      <c r="B1089" s="1" t="n">
        <v>45736</v>
      </c>
      <c r="C1089" s="1" t="n">
        <v>45788</v>
      </c>
      <c r="D1089" t="inlineStr">
        <is>
          <t>VÄSTERBOTTENS LÄN</t>
        </is>
      </c>
      <c r="E1089" t="inlineStr">
        <is>
          <t>LYCKSELE</t>
        </is>
      </c>
      <c r="F1089" t="inlineStr">
        <is>
          <t>SCA</t>
        </is>
      </c>
      <c r="G1089" t="n">
        <v>19.6</v>
      </c>
      <c r="H1089" t="n">
        <v>1</v>
      </c>
      <c r="I1089" t="n">
        <v>1</v>
      </c>
      <c r="J1089" t="n">
        <v>1</v>
      </c>
      <c r="K1089" t="n">
        <v>0</v>
      </c>
      <c r="L1089" t="n">
        <v>0</v>
      </c>
      <c r="M1089" t="n">
        <v>0</v>
      </c>
      <c r="N1089" t="n">
        <v>0</v>
      </c>
      <c r="O1089" t="n">
        <v>1</v>
      </c>
      <c r="P1089" t="n">
        <v>0</v>
      </c>
      <c r="Q1089" t="n">
        <v>2</v>
      </c>
      <c r="R1089" s="2" t="inlineStr">
        <is>
          <t>Talltita
Dropptaggsvamp</t>
        </is>
      </c>
      <c r="S1089">
        <f>HYPERLINK("https://klasma.github.io/Logging_242481/artfynd/A 13645-2025 artfynd.xlsx", "A 13645-2025")</f>
        <v/>
      </c>
      <c r="T1089">
        <f>HYPERLINK("https://klasma.github.io/Logging_242481/kartor/A 13645-2025 karta.png", "A 13645-2025")</f>
        <v/>
      </c>
      <c r="V1089">
        <f>HYPERLINK("https://klasma.github.io/Logging_242481/klagomål/A 13645-2025 FSC-klagomål.docx", "A 13645-2025")</f>
        <v/>
      </c>
      <c r="W1089">
        <f>HYPERLINK("https://klasma.github.io/Logging_242481/klagomålsmail/A 13645-2025 FSC-klagomål mail.docx", "A 13645-2025")</f>
        <v/>
      </c>
      <c r="X1089">
        <f>HYPERLINK("https://klasma.github.io/Logging_242481/tillsyn/A 13645-2025 tillsynsbegäran.docx", "A 13645-2025")</f>
        <v/>
      </c>
      <c r="Y1089">
        <f>HYPERLINK("https://klasma.github.io/Logging_242481/tillsynsmail/A 13645-2025 tillsynsbegäran mail.docx", "A 13645-2025")</f>
        <v/>
      </c>
      <c r="Z1089">
        <f>HYPERLINK("https://klasma.github.io/Logging_242481/fåglar/A 13645-2025 prioriterade fågelarter.docx", "A 13645-2025")</f>
        <v/>
      </c>
    </row>
    <row r="1090" ht="15" customHeight="1">
      <c r="A1090" t="inlineStr">
        <is>
          <t>A 14391-2025</t>
        </is>
      </c>
      <c r="B1090" s="1" t="n">
        <v>45741</v>
      </c>
      <c r="C1090" s="1" t="n">
        <v>45788</v>
      </c>
      <c r="D1090" t="inlineStr">
        <is>
          <t>VÄSTERBOTTENS LÄN</t>
        </is>
      </c>
      <c r="E1090" t="inlineStr">
        <is>
          <t>SKELLEFTEÅ</t>
        </is>
      </c>
      <c r="G1090" t="n">
        <v>3.2</v>
      </c>
      <c r="H1090" t="n">
        <v>2</v>
      </c>
      <c r="I1090" t="n">
        <v>0</v>
      </c>
      <c r="J1090" t="n">
        <v>0</v>
      </c>
      <c r="K1090" t="n">
        <v>0</v>
      </c>
      <c r="L1090" t="n">
        <v>0</v>
      </c>
      <c r="M1090" t="n">
        <v>0</v>
      </c>
      <c r="N1090" t="n">
        <v>0</v>
      </c>
      <c r="O1090" t="n">
        <v>0</v>
      </c>
      <c r="P1090" t="n">
        <v>0</v>
      </c>
      <c r="Q1090" t="n">
        <v>2</v>
      </c>
      <c r="R1090" s="2" t="inlineStr">
        <is>
          <t>Enkelbeckasin
Grönsiska</t>
        </is>
      </c>
      <c r="S1090">
        <f>HYPERLINK("https://klasma.github.io/Logging_242482/artfynd/A 14391-2025 artfynd.xlsx", "A 14391-2025")</f>
        <v/>
      </c>
      <c r="T1090">
        <f>HYPERLINK("https://klasma.github.io/Logging_242482/kartor/A 14391-2025 karta.png", "A 14391-2025")</f>
        <v/>
      </c>
      <c r="V1090">
        <f>HYPERLINK("https://klasma.github.io/Logging_242482/klagomål/A 14391-2025 FSC-klagomål.docx", "A 14391-2025")</f>
        <v/>
      </c>
      <c r="W1090">
        <f>HYPERLINK("https://klasma.github.io/Logging_242482/klagomålsmail/A 14391-2025 FSC-klagomål mail.docx", "A 14391-2025")</f>
        <v/>
      </c>
      <c r="X1090">
        <f>HYPERLINK("https://klasma.github.io/Logging_242482/tillsyn/A 14391-2025 tillsynsbegäran.docx", "A 14391-2025")</f>
        <v/>
      </c>
      <c r="Y1090">
        <f>HYPERLINK("https://klasma.github.io/Logging_242482/tillsynsmail/A 14391-2025 tillsynsbegäran mail.docx", "A 14391-2025")</f>
        <v/>
      </c>
      <c r="Z1090">
        <f>HYPERLINK("https://klasma.github.io/Logging_242482/fåglar/A 14391-2025 prioriterade fågelarter.docx", "A 14391-2025")</f>
        <v/>
      </c>
    </row>
    <row r="1091" ht="15" customHeight="1">
      <c r="A1091" t="inlineStr">
        <is>
          <t>A 16580-2025</t>
        </is>
      </c>
      <c r="B1091" s="1" t="n">
        <v>45752</v>
      </c>
      <c r="C1091" s="1" t="n">
        <v>45788</v>
      </c>
      <c r="D1091" t="inlineStr">
        <is>
          <t>VÄSTERBOTTENS LÄN</t>
        </is>
      </c>
      <c r="E1091" t="inlineStr">
        <is>
          <t>SKELLEFTEÅ</t>
        </is>
      </c>
      <c r="G1091" t="n">
        <v>23.9</v>
      </c>
      <c r="H1091" t="n">
        <v>0</v>
      </c>
      <c r="I1091" t="n">
        <v>2</v>
      </c>
      <c r="J1091" t="n">
        <v>0</v>
      </c>
      <c r="K1091" t="n">
        <v>0</v>
      </c>
      <c r="L1091" t="n">
        <v>0</v>
      </c>
      <c r="M1091" t="n">
        <v>0</v>
      </c>
      <c r="N1091" t="n">
        <v>0</v>
      </c>
      <c r="O1091" t="n">
        <v>0</v>
      </c>
      <c r="P1091" t="n">
        <v>0</v>
      </c>
      <c r="Q1091" t="n">
        <v>2</v>
      </c>
      <c r="R1091" s="2" t="inlineStr">
        <is>
          <t>Skinnlav
Stuplav</t>
        </is>
      </c>
      <c r="S1091">
        <f>HYPERLINK("https://klasma.github.io/Logging_242482/artfynd/A 16580-2025 artfynd.xlsx", "A 16580-2025")</f>
        <v/>
      </c>
      <c r="T1091">
        <f>HYPERLINK("https://klasma.github.io/Logging_242482/kartor/A 16580-2025 karta.png", "A 16580-2025")</f>
        <v/>
      </c>
      <c r="V1091">
        <f>HYPERLINK("https://klasma.github.io/Logging_242482/klagomål/A 16580-2025 FSC-klagomål.docx", "A 16580-2025")</f>
        <v/>
      </c>
      <c r="W1091">
        <f>HYPERLINK("https://klasma.github.io/Logging_242482/klagomålsmail/A 16580-2025 FSC-klagomål mail.docx", "A 16580-2025")</f>
        <v/>
      </c>
      <c r="X1091">
        <f>HYPERLINK("https://klasma.github.io/Logging_242482/tillsyn/A 16580-2025 tillsynsbegäran.docx", "A 16580-2025")</f>
        <v/>
      </c>
      <c r="Y1091">
        <f>HYPERLINK("https://klasma.github.io/Logging_242482/tillsynsmail/A 16580-2025 tillsynsbegäran mail.docx", "A 16580-2025")</f>
        <v/>
      </c>
    </row>
    <row r="1092" ht="15" customHeight="1">
      <c r="A1092" t="inlineStr">
        <is>
          <t>A 19492-2025</t>
        </is>
      </c>
      <c r="B1092" s="1" t="n">
        <v>45770</v>
      </c>
      <c r="C1092" s="1" t="n">
        <v>45788</v>
      </c>
      <c r="D1092" t="inlineStr">
        <is>
          <t>VÄSTERBOTTENS LÄN</t>
        </is>
      </c>
      <c r="E1092" t="inlineStr">
        <is>
          <t>LYCKSELE</t>
        </is>
      </c>
      <c r="F1092" t="inlineStr">
        <is>
          <t>SCA</t>
        </is>
      </c>
      <c r="G1092" t="n">
        <v>14.2</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HYPERLINK("https://klasma.github.io/Logging_242481/artfynd/A 19492-2025 artfynd.xlsx", "A 19492-2025")</f>
        <v/>
      </c>
      <c r="T1092">
        <f>HYPERLINK("https://klasma.github.io/Logging_242481/kartor/A 19492-2025 karta.png", "A 19492-2025")</f>
        <v/>
      </c>
      <c r="V1092">
        <f>HYPERLINK("https://klasma.github.io/Logging_242481/klagomål/A 19492-2025 FSC-klagomål.docx", "A 19492-2025")</f>
        <v/>
      </c>
      <c r="W1092">
        <f>HYPERLINK("https://klasma.github.io/Logging_242481/klagomålsmail/A 19492-2025 FSC-klagomål mail.docx", "A 19492-2025")</f>
        <v/>
      </c>
      <c r="X1092">
        <f>HYPERLINK("https://klasma.github.io/Logging_242481/tillsyn/A 19492-2025 tillsynsbegäran.docx", "A 19492-2025")</f>
        <v/>
      </c>
      <c r="Y1092">
        <f>HYPERLINK("https://klasma.github.io/Logging_242481/tillsynsmail/A 19492-2025 tillsynsbegäran mail.docx", "A 19492-2025")</f>
        <v/>
      </c>
    </row>
    <row r="1093" ht="15" customHeight="1">
      <c r="A1093" t="inlineStr">
        <is>
          <t>A 20111-2025</t>
        </is>
      </c>
      <c r="B1093" s="1" t="n">
        <v>45772</v>
      </c>
      <c r="C1093" s="1" t="n">
        <v>45788</v>
      </c>
      <c r="D1093" t="inlineStr">
        <is>
          <t>VÄSTERBOTTENS LÄN</t>
        </is>
      </c>
      <c r="E1093" t="inlineStr">
        <is>
          <t>LYCKSELE</t>
        </is>
      </c>
      <c r="F1093" t="inlineStr">
        <is>
          <t>Sveaskog</t>
        </is>
      </c>
      <c r="G1093" t="n">
        <v>6.9</v>
      </c>
      <c r="H1093" t="n">
        <v>0</v>
      </c>
      <c r="I1093" t="n">
        <v>0</v>
      </c>
      <c r="J1093" t="n">
        <v>2</v>
      </c>
      <c r="K1093" t="n">
        <v>0</v>
      </c>
      <c r="L1093" t="n">
        <v>0</v>
      </c>
      <c r="M1093" t="n">
        <v>0</v>
      </c>
      <c r="N1093" t="n">
        <v>0</v>
      </c>
      <c r="O1093" t="n">
        <v>2</v>
      </c>
      <c r="P1093" t="n">
        <v>0</v>
      </c>
      <c r="Q1093" t="n">
        <v>2</v>
      </c>
      <c r="R1093" s="2" t="inlineStr">
        <is>
          <t>Blå taggsvamp
Orange taggsvamp</t>
        </is>
      </c>
      <c r="S1093">
        <f>HYPERLINK("https://klasma.github.io/Logging_242481/artfynd/A 20111-2025 artfynd.xlsx", "A 20111-2025")</f>
        <v/>
      </c>
      <c r="T1093">
        <f>HYPERLINK("https://klasma.github.io/Logging_242481/kartor/A 20111-2025 karta.png", "A 20111-2025")</f>
        <v/>
      </c>
      <c r="V1093">
        <f>HYPERLINK("https://klasma.github.io/Logging_242481/klagomål/A 20111-2025 FSC-klagomål.docx", "A 20111-2025")</f>
        <v/>
      </c>
      <c r="W1093">
        <f>HYPERLINK("https://klasma.github.io/Logging_242481/klagomålsmail/A 20111-2025 FSC-klagomål mail.docx", "A 20111-2025")</f>
        <v/>
      </c>
      <c r="X1093">
        <f>HYPERLINK("https://klasma.github.io/Logging_242481/tillsyn/A 20111-2025 tillsynsbegäran.docx", "A 20111-2025")</f>
        <v/>
      </c>
      <c r="Y1093">
        <f>HYPERLINK("https://klasma.github.io/Logging_242481/tillsynsmail/A 20111-2025 tillsynsbegäran mail.docx", "A 20111-2025")</f>
        <v/>
      </c>
    </row>
    <row r="1094" ht="15" customHeight="1">
      <c r="A1094" t="inlineStr">
        <is>
          <t>A 20367-2025</t>
        </is>
      </c>
      <c r="B1094" s="1" t="n">
        <v>45775</v>
      </c>
      <c r="C1094" s="1" t="n">
        <v>45788</v>
      </c>
      <c r="D1094" t="inlineStr">
        <is>
          <t>VÄSTERBOTTENS LÄN</t>
        </is>
      </c>
      <c r="E1094" t="inlineStr">
        <is>
          <t>SKELLEFTEÅ</t>
        </is>
      </c>
      <c r="G1094" t="n">
        <v>3</v>
      </c>
      <c r="H1094" t="n">
        <v>1</v>
      </c>
      <c r="I1094" t="n">
        <v>0</v>
      </c>
      <c r="J1094" t="n">
        <v>1</v>
      </c>
      <c r="K1094" t="n">
        <v>1</v>
      </c>
      <c r="L1094" t="n">
        <v>0</v>
      </c>
      <c r="M1094" t="n">
        <v>0</v>
      </c>
      <c r="N1094" t="n">
        <v>0</v>
      </c>
      <c r="O1094" t="n">
        <v>2</v>
      </c>
      <c r="P1094" t="n">
        <v>1</v>
      </c>
      <c r="Q1094" t="n">
        <v>2</v>
      </c>
      <c r="R1094" s="2" t="inlineStr">
        <is>
          <t>Knärot
Ullticka</t>
        </is>
      </c>
      <c r="S1094">
        <f>HYPERLINK("https://klasma.github.io/Logging_242482/artfynd/A 20367-2025 artfynd.xlsx", "A 20367-2025")</f>
        <v/>
      </c>
      <c r="T1094">
        <f>HYPERLINK("https://klasma.github.io/Logging_242482/kartor/A 20367-2025 karta.png", "A 20367-2025")</f>
        <v/>
      </c>
      <c r="U1094">
        <f>HYPERLINK("https://klasma.github.io/Logging_242482/knärot/A 20367-2025 karta knärot.png", "A 20367-2025")</f>
        <v/>
      </c>
      <c r="V1094">
        <f>HYPERLINK("https://klasma.github.io/Logging_242482/klagomål/A 20367-2025 FSC-klagomål.docx", "A 20367-2025")</f>
        <v/>
      </c>
      <c r="W1094">
        <f>HYPERLINK("https://klasma.github.io/Logging_242482/klagomålsmail/A 20367-2025 FSC-klagomål mail.docx", "A 20367-2025")</f>
        <v/>
      </c>
      <c r="X1094">
        <f>HYPERLINK("https://klasma.github.io/Logging_242482/tillsyn/A 20367-2025 tillsynsbegäran.docx", "A 20367-2025")</f>
        <v/>
      </c>
      <c r="Y1094">
        <f>HYPERLINK("https://klasma.github.io/Logging_242482/tillsynsmail/A 20367-2025 tillsynsbegäran mail.docx", "A 20367-2025")</f>
        <v/>
      </c>
    </row>
    <row r="1095" ht="15" customHeight="1">
      <c r="A1095" t="inlineStr">
        <is>
          <t>A 19106-2019</t>
        </is>
      </c>
      <c r="B1095" s="1" t="n">
        <v>43564</v>
      </c>
      <c r="C1095" s="1" t="n">
        <v>45788</v>
      </c>
      <c r="D1095" t="inlineStr">
        <is>
          <t>VÄSTERBOTTENS LÄN</t>
        </is>
      </c>
      <c r="E1095" t="inlineStr">
        <is>
          <t>BJURHOLM</t>
        </is>
      </c>
      <c r="G1095" t="n">
        <v>1.7</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HYPERLINK("https://klasma.github.io/Logging_2403/artfynd/A 19106-2019 artfynd.xlsx", "A 19106-2019")</f>
        <v/>
      </c>
      <c r="T1095">
        <f>HYPERLINK("https://klasma.github.io/Logging_2403/kartor/A 19106-2019 karta.png", "A 19106-2019")</f>
        <v/>
      </c>
      <c r="V1095">
        <f>HYPERLINK("https://klasma.github.io/Logging_2403/klagomål/A 19106-2019 FSC-klagomål.docx", "A 19106-2019")</f>
        <v/>
      </c>
      <c r="W1095">
        <f>HYPERLINK("https://klasma.github.io/Logging_2403/klagomålsmail/A 19106-2019 FSC-klagomål mail.docx", "A 19106-2019")</f>
        <v/>
      </c>
      <c r="X1095">
        <f>HYPERLINK("https://klasma.github.io/Logging_2403/tillsyn/A 19106-2019 tillsynsbegäran.docx", "A 19106-2019")</f>
        <v/>
      </c>
      <c r="Y1095">
        <f>HYPERLINK("https://klasma.github.io/Logging_2403/tillsynsmail/A 19106-2019 tillsynsbegäran mail.docx", "A 19106-2019")</f>
        <v/>
      </c>
    </row>
    <row r="1096" ht="15" customHeight="1">
      <c r="A1096" t="inlineStr">
        <is>
          <t>A 20337-2019</t>
        </is>
      </c>
      <c r="B1096" s="1" t="n">
        <v>43570</v>
      </c>
      <c r="C1096" s="1" t="n">
        <v>45788</v>
      </c>
      <c r="D1096" t="inlineStr">
        <is>
          <t>VÄSTERBOTTENS LÄN</t>
        </is>
      </c>
      <c r="E1096" t="inlineStr">
        <is>
          <t>NORSJÖ</t>
        </is>
      </c>
      <c r="G1096" t="n">
        <v>6.4</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HYPERLINK("https://klasma.github.io/Logging_2417/artfynd/A 20337-2019 artfynd.xlsx", "A 20337-2019")</f>
        <v/>
      </c>
      <c r="T1096">
        <f>HYPERLINK("https://klasma.github.io/Logging_2417/kartor/A 20337-2019 karta.png", "A 20337-2019")</f>
        <v/>
      </c>
      <c r="V1096">
        <f>HYPERLINK("https://klasma.github.io/Logging_2417/klagomål/A 20337-2019 FSC-klagomål.docx", "A 20337-2019")</f>
        <v/>
      </c>
      <c r="W1096">
        <f>HYPERLINK("https://klasma.github.io/Logging_2417/klagomålsmail/A 20337-2019 FSC-klagomål mail.docx", "A 20337-2019")</f>
        <v/>
      </c>
      <c r="X1096">
        <f>HYPERLINK("https://klasma.github.io/Logging_2417/tillsyn/A 20337-2019 tillsynsbegäran.docx", "A 20337-2019")</f>
        <v/>
      </c>
      <c r="Y1096">
        <f>HYPERLINK("https://klasma.github.io/Logging_2417/tillsynsmail/A 20337-2019 tillsynsbegäran mail.docx", "A 20337-2019")</f>
        <v/>
      </c>
    </row>
    <row r="1097" ht="15" customHeight="1">
      <c r="A1097" t="inlineStr">
        <is>
          <t>A 20465-2019</t>
        </is>
      </c>
      <c r="B1097" s="1" t="n">
        <v>43572</v>
      </c>
      <c r="C1097" s="1" t="n">
        <v>45788</v>
      </c>
      <c r="D1097" t="inlineStr">
        <is>
          <t>VÄSTERBOTTENS LÄN</t>
        </is>
      </c>
      <c r="E1097" t="inlineStr">
        <is>
          <t>SKELLEFTEÅ</t>
        </is>
      </c>
      <c r="G1097" t="n">
        <v>2.1</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HYPERLINK("https://klasma.github.io/Logging_2482/artfynd/A 20465-2019 artfynd.xlsx", "A 20465-2019")</f>
        <v/>
      </c>
      <c r="T1097">
        <f>HYPERLINK("https://klasma.github.io/Logging_2482/kartor/A 20465-2019 karta.png", "A 20465-2019")</f>
        <v/>
      </c>
      <c r="V1097">
        <f>HYPERLINK("https://klasma.github.io/Logging_2482/klagomål/A 20465-2019 FSC-klagomål.docx", "A 20465-2019")</f>
        <v/>
      </c>
      <c r="W1097">
        <f>HYPERLINK("https://klasma.github.io/Logging_2482/klagomålsmail/A 20465-2019 FSC-klagomål mail.docx", "A 20465-2019")</f>
        <v/>
      </c>
      <c r="X1097">
        <f>HYPERLINK("https://klasma.github.io/Logging_2482/tillsyn/A 20465-2019 tillsynsbegäran.docx", "A 20465-2019")</f>
        <v/>
      </c>
      <c r="Y1097">
        <f>HYPERLINK("https://klasma.github.io/Logging_2482/tillsynsmail/A 20465-2019 tillsynsbegäran mail.docx", "A 20465-2019")</f>
        <v/>
      </c>
    </row>
    <row r="1098" ht="15" customHeight="1">
      <c r="A1098" t="inlineStr">
        <is>
          <t>A 23064-2019</t>
        </is>
      </c>
      <c r="B1098" s="1" t="n">
        <v>43591</v>
      </c>
      <c r="C1098" s="1" t="n">
        <v>45788</v>
      </c>
      <c r="D1098" t="inlineStr">
        <is>
          <t>VÄSTERBOTTENS LÄN</t>
        </is>
      </c>
      <c r="E1098" t="inlineStr">
        <is>
          <t>DOROTEA</t>
        </is>
      </c>
      <c r="G1098" t="n">
        <v>1.5</v>
      </c>
      <c r="H1098" t="n">
        <v>0</v>
      </c>
      <c r="I1098" t="n">
        <v>0</v>
      </c>
      <c r="J1098" t="n">
        <v>1</v>
      </c>
      <c r="K1098" t="n">
        <v>0</v>
      </c>
      <c r="L1098" t="n">
        <v>0</v>
      </c>
      <c r="M1098" t="n">
        <v>0</v>
      </c>
      <c r="N1098" t="n">
        <v>0</v>
      </c>
      <c r="O1098" t="n">
        <v>1</v>
      </c>
      <c r="P1098" t="n">
        <v>0</v>
      </c>
      <c r="Q1098" t="n">
        <v>1</v>
      </c>
      <c r="R1098" s="2" t="inlineStr">
        <is>
          <t>Garnlav</t>
        </is>
      </c>
      <c r="S1098">
        <f>HYPERLINK("https://klasma.github.io/Logging_2425/artfynd/A 23064-2019 artfynd.xlsx", "A 23064-2019")</f>
        <v/>
      </c>
      <c r="T1098">
        <f>HYPERLINK("https://klasma.github.io/Logging_2425/kartor/A 23064-2019 karta.png", "A 23064-2019")</f>
        <v/>
      </c>
      <c r="V1098">
        <f>HYPERLINK("https://klasma.github.io/Logging_2425/klagomål/A 23064-2019 FSC-klagomål.docx", "A 23064-2019")</f>
        <v/>
      </c>
      <c r="W1098">
        <f>HYPERLINK("https://klasma.github.io/Logging_2425/klagomålsmail/A 23064-2019 FSC-klagomål mail.docx", "A 23064-2019")</f>
        <v/>
      </c>
      <c r="X1098">
        <f>HYPERLINK("https://klasma.github.io/Logging_2425/tillsyn/A 23064-2019 tillsynsbegäran.docx", "A 23064-2019")</f>
        <v/>
      </c>
      <c r="Y1098">
        <f>HYPERLINK("https://klasma.github.io/Logging_2425/tillsynsmail/A 23064-2019 tillsynsbegäran mail.docx", "A 23064-2019")</f>
        <v/>
      </c>
    </row>
    <row r="1099" ht="15" customHeight="1">
      <c r="A1099" t="inlineStr">
        <is>
          <t>A 25651-2019</t>
        </is>
      </c>
      <c r="B1099" s="1" t="n">
        <v>43602</v>
      </c>
      <c r="C1099" s="1" t="n">
        <v>45788</v>
      </c>
      <c r="D1099" t="inlineStr">
        <is>
          <t>VÄSTERBOTTENS LÄN</t>
        </is>
      </c>
      <c r="E1099" t="inlineStr">
        <is>
          <t>SKELLEFTEÅ</t>
        </is>
      </c>
      <c r="G1099" t="n">
        <v>16.9</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25651-2019 artfynd.xlsx", "A 25651-2019")</f>
        <v/>
      </c>
      <c r="T1099">
        <f>HYPERLINK("https://klasma.github.io/Logging_2482/kartor/A 25651-2019 karta.png", "A 25651-2019")</f>
        <v/>
      </c>
      <c r="V1099">
        <f>HYPERLINK("https://klasma.github.io/Logging_2482/klagomål/A 25651-2019 FSC-klagomål.docx", "A 25651-2019")</f>
        <v/>
      </c>
      <c r="W1099">
        <f>HYPERLINK("https://klasma.github.io/Logging_2482/klagomålsmail/A 25651-2019 FSC-klagomål mail.docx", "A 25651-2019")</f>
        <v/>
      </c>
      <c r="X1099">
        <f>HYPERLINK("https://klasma.github.io/Logging_2482/tillsyn/A 25651-2019 tillsynsbegäran.docx", "A 25651-2019")</f>
        <v/>
      </c>
      <c r="Y1099">
        <f>HYPERLINK("https://klasma.github.io/Logging_2482/tillsynsmail/A 25651-2019 tillsynsbegäran mail.docx", "A 25651-2019")</f>
        <v/>
      </c>
    </row>
    <row r="1100" ht="15" customHeight="1">
      <c r="A1100" t="inlineStr">
        <is>
          <t>A 29650-2019</t>
        </is>
      </c>
      <c r="B1100" s="1" t="n">
        <v>43630</v>
      </c>
      <c r="C1100" s="1" t="n">
        <v>45788</v>
      </c>
      <c r="D1100" t="inlineStr">
        <is>
          <t>VÄSTERBOTTENS LÄN</t>
        </is>
      </c>
      <c r="E1100" t="inlineStr">
        <is>
          <t>VINDELN</t>
        </is>
      </c>
      <c r="F1100" t="inlineStr">
        <is>
          <t>Holmen skog AB</t>
        </is>
      </c>
      <c r="G1100" t="n">
        <v>12.6</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HYPERLINK("https://klasma.github.io/Logging_2404/artfynd/A 29650-2019 artfynd.xlsx", "A 29650-2019")</f>
        <v/>
      </c>
      <c r="T1100">
        <f>HYPERLINK("https://klasma.github.io/Logging_2404/kartor/A 29650-2019 karta.png", "A 29650-2019")</f>
        <v/>
      </c>
      <c r="V1100">
        <f>HYPERLINK("https://klasma.github.io/Logging_2404/klagomål/A 29650-2019 FSC-klagomål.docx", "A 29650-2019")</f>
        <v/>
      </c>
      <c r="W1100">
        <f>HYPERLINK("https://klasma.github.io/Logging_2404/klagomålsmail/A 29650-2019 FSC-klagomål mail.docx", "A 29650-2019")</f>
        <v/>
      </c>
      <c r="X1100">
        <f>HYPERLINK("https://klasma.github.io/Logging_2404/tillsyn/A 29650-2019 tillsynsbegäran.docx", "A 29650-2019")</f>
        <v/>
      </c>
      <c r="Y1100">
        <f>HYPERLINK("https://klasma.github.io/Logging_2404/tillsynsmail/A 29650-2019 tillsynsbegäran mail.docx", "A 29650-2019")</f>
        <v/>
      </c>
    </row>
    <row r="1101" ht="15" customHeight="1">
      <c r="A1101" t="inlineStr">
        <is>
          <t>A 31376-2019</t>
        </is>
      </c>
      <c r="B1101" s="1" t="n">
        <v>43636</v>
      </c>
      <c r="C1101" s="1" t="n">
        <v>45788</v>
      </c>
      <c r="D1101" t="inlineStr">
        <is>
          <t>VÄSTERBOTTENS LÄN</t>
        </is>
      </c>
      <c r="E1101" t="inlineStr">
        <is>
          <t>MALÅ</t>
        </is>
      </c>
      <c r="G1101" t="n">
        <v>9</v>
      </c>
      <c r="H1101" t="n">
        <v>1</v>
      </c>
      <c r="I1101" t="n">
        <v>0</v>
      </c>
      <c r="J1101" t="n">
        <v>1</v>
      </c>
      <c r="K1101" t="n">
        <v>0</v>
      </c>
      <c r="L1101" t="n">
        <v>0</v>
      </c>
      <c r="M1101" t="n">
        <v>0</v>
      </c>
      <c r="N1101" t="n">
        <v>0</v>
      </c>
      <c r="O1101" t="n">
        <v>1</v>
      </c>
      <c r="P1101" t="n">
        <v>0</v>
      </c>
      <c r="Q1101" t="n">
        <v>1</v>
      </c>
      <c r="R1101" s="2" t="inlineStr">
        <is>
          <t>Utter</t>
        </is>
      </c>
      <c r="S1101">
        <f>HYPERLINK("https://klasma.github.io/Logging_2418/artfynd/A 31376-2019 artfynd.xlsx", "A 31376-2019")</f>
        <v/>
      </c>
      <c r="T1101">
        <f>HYPERLINK("https://klasma.github.io/Logging_2418/kartor/A 31376-2019 karta.png", "A 31376-2019")</f>
        <v/>
      </c>
      <c r="V1101">
        <f>HYPERLINK("https://klasma.github.io/Logging_2418/klagomål/A 31376-2019 FSC-klagomål.docx", "A 31376-2019")</f>
        <v/>
      </c>
      <c r="W1101">
        <f>HYPERLINK("https://klasma.github.io/Logging_2418/klagomålsmail/A 31376-2019 FSC-klagomål mail.docx", "A 31376-2019")</f>
        <v/>
      </c>
      <c r="X1101">
        <f>HYPERLINK("https://klasma.github.io/Logging_2418/tillsyn/A 31376-2019 tillsynsbegäran.docx", "A 31376-2019")</f>
        <v/>
      </c>
      <c r="Y1101">
        <f>HYPERLINK("https://klasma.github.io/Logging_2418/tillsynsmail/A 31376-2019 tillsynsbegäran mail.docx", "A 31376-2019")</f>
        <v/>
      </c>
    </row>
    <row r="1102" ht="15" customHeight="1">
      <c r="A1102" t="inlineStr">
        <is>
          <t>A 32370-2019</t>
        </is>
      </c>
      <c r="B1102" s="1" t="n">
        <v>43636</v>
      </c>
      <c r="C1102" s="1" t="n">
        <v>45788</v>
      </c>
      <c r="D1102" t="inlineStr">
        <is>
          <t>VÄSTERBOTTENS LÄN</t>
        </is>
      </c>
      <c r="E1102" t="inlineStr">
        <is>
          <t>ÅSELE</t>
        </is>
      </c>
      <c r="F1102" t="inlineStr">
        <is>
          <t>Sveaskog</t>
        </is>
      </c>
      <c r="G1102" t="n">
        <v>19.4</v>
      </c>
      <c r="H1102" t="n">
        <v>0</v>
      </c>
      <c r="I1102" t="n">
        <v>0</v>
      </c>
      <c r="J1102" t="n">
        <v>1</v>
      </c>
      <c r="K1102" t="n">
        <v>0</v>
      </c>
      <c r="L1102" t="n">
        <v>0</v>
      </c>
      <c r="M1102" t="n">
        <v>0</v>
      </c>
      <c r="N1102" t="n">
        <v>0</v>
      </c>
      <c r="O1102" t="n">
        <v>1</v>
      </c>
      <c r="P1102" t="n">
        <v>0</v>
      </c>
      <c r="Q1102" t="n">
        <v>1</v>
      </c>
      <c r="R1102" s="2" t="inlineStr">
        <is>
          <t>Garnlav</t>
        </is>
      </c>
      <c r="S1102">
        <f>HYPERLINK("https://klasma.github.io/Logging_2463/artfynd/A 32370-2019 artfynd.xlsx", "A 32370-2019")</f>
        <v/>
      </c>
      <c r="T1102">
        <f>HYPERLINK("https://klasma.github.io/Logging_2463/kartor/A 32370-2019 karta.png", "A 32370-2019")</f>
        <v/>
      </c>
      <c r="V1102">
        <f>HYPERLINK("https://klasma.github.io/Logging_2463/klagomål/A 32370-2019 FSC-klagomål.docx", "A 32370-2019")</f>
        <v/>
      </c>
      <c r="W1102">
        <f>HYPERLINK("https://klasma.github.io/Logging_2463/klagomålsmail/A 32370-2019 FSC-klagomål mail.docx", "A 32370-2019")</f>
        <v/>
      </c>
      <c r="X1102">
        <f>HYPERLINK("https://klasma.github.io/Logging_2463/tillsyn/A 32370-2019 tillsynsbegäran.docx", "A 32370-2019")</f>
        <v/>
      </c>
      <c r="Y1102">
        <f>HYPERLINK("https://klasma.github.io/Logging_2463/tillsynsmail/A 32370-2019 tillsynsbegäran mail.docx", "A 32370-2019")</f>
        <v/>
      </c>
    </row>
    <row r="1103" ht="15" customHeight="1">
      <c r="A1103" t="inlineStr">
        <is>
          <t>A 32631-2019</t>
        </is>
      </c>
      <c r="B1103" s="1" t="n">
        <v>43647</v>
      </c>
      <c r="C1103" s="1" t="n">
        <v>45788</v>
      </c>
      <c r="D1103" t="inlineStr">
        <is>
          <t>VÄSTERBOTTENS LÄN</t>
        </is>
      </c>
      <c r="E1103" t="inlineStr">
        <is>
          <t>VINDELN</t>
        </is>
      </c>
      <c r="F1103" t="inlineStr">
        <is>
          <t>Sveaskog</t>
        </is>
      </c>
      <c r="G1103" t="n">
        <v>7.7</v>
      </c>
      <c r="H1103" t="n">
        <v>0</v>
      </c>
      <c r="I1103" t="n">
        <v>0</v>
      </c>
      <c r="J1103" t="n">
        <v>1</v>
      </c>
      <c r="K1103" t="n">
        <v>0</v>
      </c>
      <c r="L1103" t="n">
        <v>0</v>
      </c>
      <c r="M1103" t="n">
        <v>0</v>
      </c>
      <c r="N1103" t="n">
        <v>0</v>
      </c>
      <c r="O1103" t="n">
        <v>1</v>
      </c>
      <c r="P1103" t="n">
        <v>0</v>
      </c>
      <c r="Q1103" t="n">
        <v>1</v>
      </c>
      <c r="R1103" s="2" t="inlineStr">
        <is>
          <t>Lunglav</t>
        </is>
      </c>
      <c r="S1103">
        <f>HYPERLINK("https://klasma.github.io/Logging_2404/artfynd/A 32631-2019 artfynd.xlsx", "A 32631-2019")</f>
        <v/>
      </c>
      <c r="T1103">
        <f>HYPERLINK("https://klasma.github.io/Logging_2404/kartor/A 32631-2019 karta.png", "A 32631-2019")</f>
        <v/>
      </c>
      <c r="V1103">
        <f>HYPERLINK("https://klasma.github.io/Logging_2404/klagomål/A 32631-2019 FSC-klagomål.docx", "A 32631-2019")</f>
        <v/>
      </c>
      <c r="W1103">
        <f>HYPERLINK("https://klasma.github.io/Logging_2404/klagomålsmail/A 32631-2019 FSC-klagomål mail.docx", "A 32631-2019")</f>
        <v/>
      </c>
      <c r="X1103">
        <f>HYPERLINK("https://klasma.github.io/Logging_2404/tillsyn/A 32631-2019 tillsynsbegäran.docx", "A 32631-2019")</f>
        <v/>
      </c>
      <c r="Y1103">
        <f>HYPERLINK("https://klasma.github.io/Logging_2404/tillsynsmail/A 32631-2019 tillsynsbegäran mail.docx", "A 32631-2019")</f>
        <v/>
      </c>
    </row>
    <row r="1104" ht="15" customHeight="1">
      <c r="A1104" t="inlineStr">
        <is>
          <t>A 34058-2019</t>
        </is>
      </c>
      <c r="B1104" s="1" t="n">
        <v>43654</v>
      </c>
      <c r="C1104" s="1" t="n">
        <v>45788</v>
      </c>
      <c r="D1104" t="inlineStr">
        <is>
          <t>VÄSTERBOTTENS LÄN</t>
        </is>
      </c>
      <c r="E1104" t="inlineStr">
        <is>
          <t>SORSELE</t>
        </is>
      </c>
      <c r="F1104" t="inlineStr">
        <is>
          <t>Sveaskog</t>
        </is>
      </c>
      <c r="G1104" t="n">
        <v>1.1</v>
      </c>
      <c r="H1104" t="n">
        <v>0</v>
      </c>
      <c r="I1104" t="n">
        <v>0</v>
      </c>
      <c r="J1104" t="n">
        <v>0</v>
      </c>
      <c r="K1104" t="n">
        <v>1</v>
      </c>
      <c r="L1104" t="n">
        <v>0</v>
      </c>
      <c r="M1104" t="n">
        <v>0</v>
      </c>
      <c r="N1104" t="n">
        <v>0</v>
      </c>
      <c r="O1104" t="n">
        <v>1</v>
      </c>
      <c r="P1104" t="n">
        <v>1</v>
      </c>
      <c r="Q1104" t="n">
        <v>1</v>
      </c>
      <c r="R1104" s="2" t="inlineStr">
        <is>
          <t>Rynkskinn</t>
        </is>
      </c>
      <c r="S1104">
        <f>HYPERLINK("https://klasma.github.io/Logging_2422/artfynd/A 34058-2019 artfynd.xlsx", "A 34058-2019")</f>
        <v/>
      </c>
      <c r="T1104">
        <f>HYPERLINK("https://klasma.github.io/Logging_2422/kartor/A 34058-2019 karta.png", "A 34058-2019")</f>
        <v/>
      </c>
      <c r="V1104">
        <f>HYPERLINK("https://klasma.github.io/Logging_2422/klagomål/A 34058-2019 FSC-klagomål.docx", "A 34058-2019")</f>
        <v/>
      </c>
      <c r="W1104">
        <f>HYPERLINK("https://klasma.github.io/Logging_2422/klagomålsmail/A 34058-2019 FSC-klagomål mail.docx", "A 34058-2019")</f>
        <v/>
      </c>
      <c r="X1104">
        <f>HYPERLINK("https://klasma.github.io/Logging_2422/tillsyn/A 34058-2019 tillsynsbegäran.docx", "A 34058-2019")</f>
        <v/>
      </c>
      <c r="Y1104">
        <f>HYPERLINK("https://klasma.github.io/Logging_2422/tillsynsmail/A 34058-2019 tillsynsbegäran mail.docx", "A 34058-2019")</f>
        <v/>
      </c>
    </row>
    <row r="1105" ht="15" customHeight="1">
      <c r="A1105" t="inlineStr">
        <is>
          <t>A 35565-2019</t>
        </is>
      </c>
      <c r="B1105" s="1" t="n">
        <v>43664</v>
      </c>
      <c r="C1105" s="1" t="n">
        <v>45788</v>
      </c>
      <c r="D1105" t="inlineStr">
        <is>
          <t>VÄSTERBOTTENS LÄN</t>
        </is>
      </c>
      <c r="E1105" t="inlineStr">
        <is>
          <t>ÅSELE</t>
        </is>
      </c>
      <c r="F1105" t="inlineStr">
        <is>
          <t>Sveaskog</t>
        </is>
      </c>
      <c r="G1105" t="n">
        <v>2.1</v>
      </c>
      <c r="H1105" t="n">
        <v>0</v>
      </c>
      <c r="I1105" t="n">
        <v>0</v>
      </c>
      <c r="J1105" t="n">
        <v>1</v>
      </c>
      <c r="K1105" t="n">
        <v>0</v>
      </c>
      <c r="L1105" t="n">
        <v>0</v>
      </c>
      <c r="M1105" t="n">
        <v>0</v>
      </c>
      <c r="N1105" t="n">
        <v>0</v>
      </c>
      <c r="O1105" t="n">
        <v>1</v>
      </c>
      <c r="P1105" t="n">
        <v>0</v>
      </c>
      <c r="Q1105" t="n">
        <v>1</v>
      </c>
      <c r="R1105" s="2" t="inlineStr">
        <is>
          <t>Vitgrynig nållav</t>
        </is>
      </c>
      <c r="S1105">
        <f>HYPERLINK("https://klasma.github.io/Logging_2463/artfynd/A 35565-2019 artfynd.xlsx", "A 35565-2019")</f>
        <v/>
      </c>
      <c r="T1105">
        <f>HYPERLINK("https://klasma.github.io/Logging_2463/kartor/A 35565-2019 karta.png", "A 35565-2019")</f>
        <v/>
      </c>
      <c r="V1105">
        <f>HYPERLINK("https://klasma.github.io/Logging_2463/klagomål/A 35565-2019 FSC-klagomål.docx", "A 35565-2019")</f>
        <v/>
      </c>
      <c r="W1105">
        <f>HYPERLINK("https://klasma.github.io/Logging_2463/klagomålsmail/A 35565-2019 FSC-klagomål mail.docx", "A 35565-2019")</f>
        <v/>
      </c>
      <c r="X1105">
        <f>HYPERLINK("https://klasma.github.io/Logging_2463/tillsyn/A 35565-2019 tillsynsbegäran.docx", "A 35565-2019")</f>
        <v/>
      </c>
      <c r="Y1105">
        <f>HYPERLINK("https://klasma.github.io/Logging_2463/tillsynsmail/A 35565-2019 tillsynsbegäran mail.docx", "A 35565-2019")</f>
        <v/>
      </c>
    </row>
    <row r="1106" ht="15" customHeight="1">
      <c r="A1106" t="inlineStr">
        <is>
          <t>A 36373-2019</t>
        </is>
      </c>
      <c r="B1106" s="1" t="n">
        <v>43670</v>
      </c>
      <c r="C1106" s="1" t="n">
        <v>45788</v>
      </c>
      <c r="D1106" t="inlineStr">
        <is>
          <t>VÄSTERBOTTENS LÄN</t>
        </is>
      </c>
      <c r="E1106" t="inlineStr">
        <is>
          <t>LYCKSELE</t>
        </is>
      </c>
      <c r="F1106" t="inlineStr">
        <is>
          <t>Sveaskog</t>
        </is>
      </c>
      <c r="G1106" t="n">
        <v>2</v>
      </c>
      <c r="H1106" t="n">
        <v>0</v>
      </c>
      <c r="I1106" t="n">
        <v>1</v>
      </c>
      <c r="J1106" t="n">
        <v>0</v>
      </c>
      <c r="K1106" t="n">
        <v>0</v>
      </c>
      <c r="L1106" t="n">
        <v>0</v>
      </c>
      <c r="M1106" t="n">
        <v>0</v>
      </c>
      <c r="N1106" t="n">
        <v>0</v>
      </c>
      <c r="O1106" t="n">
        <v>0</v>
      </c>
      <c r="P1106" t="n">
        <v>0</v>
      </c>
      <c r="Q1106" t="n">
        <v>1</v>
      </c>
      <c r="R1106" s="2" t="inlineStr">
        <is>
          <t>Stor aspticka</t>
        </is>
      </c>
      <c r="S1106">
        <f>HYPERLINK("https://klasma.github.io/Logging_2481/artfynd/A 36373-2019 artfynd.xlsx", "A 36373-2019")</f>
        <v/>
      </c>
      <c r="T1106">
        <f>HYPERLINK("https://klasma.github.io/Logging_2481/kartor/A 36373-2019 karta.png", "A 36373-2019")</f>
        <v/>
      </c>
      <c r="U1106">
        <f>HYPERLINK("https://klasma.github.io/Logging_2481/knärot/A 36373-2019 karta knärot.png", "A 36373-2019")</f>
        <v/>
      </c>
      <c r="V1106">
        <f>HYPERLINK("https://klasma.github.io/Logging_2481/klagomål/A 36373-2019 FSC-klagomål.docx", "A 36373-2019")</f>
        <v/>
      </c>
      <c r="W1106">
        <f>HYPERLINK("https://klasma.github.io/Logging_2481/klagomålsmail/A 36373-2019 FSC-klagomål mail.docx", "A 36373-2019")</f>
        <v/>
      </c>
      <c r="X1106">
        <f>HYPERLINK("https://klasma.github.io/Logging_2481/tillsyn/A 36373-2019 tillsynsbegäran.docx", "A 36373-2019")</f>
        <v/>
      </c>
      <c r="Y1106">
        <f>HYPERLINK("https://klasma.github.io/Logging_2481/tillsynsmail/A 36373-2019 tillsynsbegäran mail.docx", "A 36373-2019")</f>
        <v/>
      </c>
    </row>
    <row r="1107" ht="15" customHeight="1">
      <c r="A1107" t="inlineStr">
        <is>
          <t>A 39136-2019</t>
        </is>
      </c>
      <c r="B1107" s="1" t="n">
        <v>43689</v>
      </c>
      <c r="C1107" s="1" t="n">
        <v>45788</v>
      </c>
      <c r="D1107" t="inlineStr">
        <is>
          <t>VÄSTERBOTTENS LÄN</t>
        </is>
      </c>
      <c r="E1107" t="inlineStr">
        <is>
          <t>BJURHOLM</t>
        </is>
      </c>
      <c r="G1107" t="n">
        <v>2.2</v>
      </c>
      <c r="H1107" t="n">
        <v>0</v>
      </c>
      <c r="I1107" t="n">
        <v>0</v>
      </c>
      <c r="J1107" t="n">
        <v>1</v>
      </c>
      <c r="K1107" t="n">
        <v>0</v>
      </c>
      <c r="L1107" t="n">
        <v>0</v>
      </c>
      <c r="M1107" t="n">
        <v>0</v>
      </c>
      <c r="N1107" t="n">
        <v>0</v>
      </c>
      <c r="O1107" t="n">
        <v>1</v>
      </c>
      <c r="P1107" t="n">
        <v>0</v>
      </c>
      <c r="Q1107" t="n">
        <v>1</v>
      </c>
      <c r="R1107" s="2" t="inlineStr">
        <is>
          <t>Lunglav</t>
        </is>
      </c>
      <c r="S1107">
        <f>HYPERLINK("https://klasma.github.io/Logging_2403/artfynd/A 39136-2019 artfynd.xlsx", "A 39136-2019")</f>
        <v/>
      </c>
      <c r="T1107">
        <f>HYPERLINK("https://klasma.github.io/Logging_2403/kartor/A 39136-2019 karta.png", "A 39136-2019")</f>
        <v/>
      </c>
      <c r="V1107">
        <f>HYPERLINK("https://klasma.github.io/Logging_2403/klagomål/A 39136-2019 FSC-klagomål.docx", "A 39136-2019")</f>
        <v/>
      </c>
      <c r="W1107">
        <f>HYPERLINK("https://klasma.github.io/Logging_2403/klagomålsmail/A 39136-2019 FSC-klagomål mail.docx", "A 39136-2019")</f>
        <v/>
      </c>
      <c r="X1107">
        <f>HYPERLINK("https://klasma.github.io/Logging_2403/tillsyn/A 39136-2019 tillsynsbegäran.docx", "A 39136-2019")</f>
        <v/>
      </c>
      <c r="Y1107">
        <f>HYPERLINK("https://klasma.github.io/Logging_2403/tillsynsmail/A 39136-2019 tillsynsbegäran mail.docx", "A 39136-2019")</f>
        <v/>
      </c>
    </row>
    <row r="1108" ht="15" customHeight="1">
      <c r="A1108" t="inlineStr">
        <is>
          <t>A 46848-2019</t>
        </is>
      </c>
      <c r="B1108" s="1" t="n">
        <v>43719</v>
      </c>
      <c r="C1108" s="1" t="n">
        <v>45788</v>
      </c>
      <c r="D1108" t="inlineStr">
        <is>
          <t>VÄSTERBOTTENS LÄN</t>
        </is>
      </c>
      <c r="E1108" t="inlineStr">
        <is>
          <t>VINDELN</t>
        </is>
      </c>
      <c r="G1108" t="n">
        <v>5.2</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46848-2019 artfynd.xlsx", "A 46848-2019")</f>
        <v/>
      </c>
      <c r="T1108">
        <f>HYPERLINK("https://klasma.github.io/Logging_2404/kartor/A 46848-2019 karta.png", "A 46848-2019")</f>
        <v/>
      </c>
      <c r="V1108">
        <f>HYPERLINK("https://klasma.github.io/Logging_2404/klagomål/A 46848-2019 FSC-klagomål.docx", "A 46848-2019")</f>
        <v/>
      </c>
      <c r="W1108">
        <f>HYPERLINK("https://klasma.github.io/Logging_2404/klagomålsmail/A 46848-2019 FSC-klagomål mail.docx", "A 46848-2019")</f>
        <v/>
      </c>
      <c r="X1108">
        <f>HYPERLINK("https://klasma.github.io/Logging_2404/tillsyn/A 46848-2019 tillsynsbegäran.docx", "A 46848-2019")</f>
        <v/>
      </c>
      <c r="Y1108">
        <f>HYPERLINK("https://klasma.github.io/Logging_2404/tillsynsmail/A 46848-2019 tillsynsbegäran mail.docx", "A 46848-2019")</f>
        <v/>
      </c>
    </row>
    <row r="1109" ht="15" customHeight="1">
      <c r="A1109" t="inlineStr">
        <is>
          <t>A 49035-2019</t>
        </is>
      </c>
      <c r="B1109" s="1" t="n">
        <v>43731</v>
      </c>
      <c r="C1109" s="1" t="n">
        <v>45788</v>
      </c>
      <c r="D1109" t="inlineStr">
        <is>
          <t>VÄSTERBOTTENS LÄN</t>
        </is>
      </c>
      <c r="E1109" t="inlineStr">
        <is>
          <t>SKELLEFTEÅ</t>
        </is>
      </c>
      <c r="F1109" t="inlineStr">
        <is>
          <t>Kommuner</t>
        </is>
      </c>
      <c r="G1109" t="n">
        <v>1.4</v>
      </c>
      <c r="H1109" t="n">
        <v>1</v>
      </c>
      <c r="I1109" t="n">
        <v>0</v>
      </c>
      <c r="J1109" t="n">
        <v>0</v>
      </c>
      <c r="K1109" t="n">
        <v>0</v>
      </c>
      <c r="L1109" t="n">
        <v>0</v>
      </c>
      <c r="M1109" t="n">
        <v>0</v>
      </c>
      <c r="N1109" t="n">
        <v>0</v>
      </c>
      <c r="O1109" t="n">
        <v>0</v>
      </c>
      <c r="P1109" t="n">
        <v>0</v>
      </c>
      <c r="Q1109" t="n">
        <v>1</v>
      </c>
      <c r="R1109" s="2" t="inlineStr">
        <is>
          <t>Huggorm</t>
        </is>
      </c>
      <c r="S1109">
        <f>HYPERLINK("https://klasma.github.io/Logging_2482/artfynd/A 49035-2019 artfynd.xlsx", "A 49035-2019")</f>
        <v/>
      </c>
      <c r="T1109">
        <f>HYPERLINK("https://klasma.github.io/Logging_2482/kartor/A 49035-2019 karta.png", "A 49035-2019")</f>
        <v/>
      </c>
      <c r="V1109">
        <f>HYPERLINK("https://klasma.github.io/Logging_2482/klagomål/A 49035-2019 FSC-klagomål.docx", "A 49035-2019")</f>
        <v/>
      </c>
      <c r="W1109">
        <f>HYPERLINK("https://klasma.github.io/Logging_2482/klagomålsmail/A 49035-2019 FSC-klagomål mail.docx", "A 49035-2019")</f>
        <v/>
      </c>
      <c r="X1109">
        <f>HYPERLINK("https://klasma.github.io/Logging_2482/tillsyn/A 49035-2019 tillsynsbegäran.docx", "A 49035-2019")</f>
        <v/>
      </c>
      <c r="Y1109">
        <f>HYPERLINK("https://klasma.github.io/Logging_2482/tillsynsmail/A 49035-2019 tillsynsbegäran mail.docx", "A 49035-2019")</f>
        <v/>
      </c>
    </row>
    <row r="1110" ht="15" customHeight="1">
      <c r="A1110" t="inlineStr">
        <is>
          <t>A 51211-2019</t>
        </is>
      </c>
      <c r="B1110" s="1" t="n">
        <v>43739</v>
      </c>
      <c r="C1110" s="1" t="n">
        <v>45788</v>
      </c>
      <c r="D1110" t="inlineStr">
        <is>
          <t>VÄSTERBOTTENS LÄN</t>
        </is>
      </c>
      <c r="E1110" t="inlineStr">
        <is>
          <t>LYCKSELE</t>
        </is>
      </c>
      <c r="F1110" t="inlineStr">
        <is>
          <t>Kyrkan</t>
        </is>
      </c>
      <c r="G1110" t="n">
        <v>4.1</v>
      </c>
      <c r="H1110" t="n">
        <v>0</v>
      </c>
      <c r="I1110" t="n">
        <v>1</v>
      </c>
      <c r="J1110" t="n">
        <v>0</v>
      </c>
      <c r="K1110" t="n">
        <v>0</v>
      </c>
      <c r="L1110" t="n">
        <v>0</v>
      </c>
      <c r="M1110" t="n">
        <v>0</v>
      </c>
      <c r="N1110" t="n">
        <v>0</v>
      </c>
      <c r="O1110" t="n">
        <v>0</v>
      </c>
      <c r="P1110" t="n">
        <v>0</v>
      </c>
      <c r="Q1110" t="n">
        <v>1</v>
      </c>
      <c r="R1110" s="2" t="inlineStr">
        <is>
          <t>Skarp dropptaggsvamp</t>
        </is>
      </c>
      <c r="S1110">
        <f>HYPERLINK("https://klasma.github.io/Logging_2481/artfynd/A 51211-2019 artfynd.xlsx", "A 51211-2019")</f>
        <v/>
      </c>
      <c r="T1110">
        <f>HYPERLINK("https://klasma.github.io/Logging_2481/kartor/A 51211-2019 karta.png", "A 51211-2019")</f>
        <v/>
      </c>
      <c r="V1110">
        <f>HYPERLINK("https://klasma.github.io/Logging_2481/klagomål/A 51211-2019 FSC-klagomål.docx", "A 51211-2019")</f>
        <v/>
      </c>
      <c r="W1110">
        <f>HYPERLINK("https://klasma.github.io/Logging_2481/klagomålsmail/A 51211-2019 FSC-klagomål mail.docx", "A 51211-2019")</f>
        <v/>
      </c>
      <c r="X1110">
        <f>HYPERLINK("https://klasma.github.io/Logging_2481/tillsyn/A 51211-2019 tillsynsbegäran.docx", "A 51211-2019")</f>
        <v/>
      </c>
      <c r="Y1110">
        <f>HYPERLINK("https://klasma.github.io/Logging_2481/tillsynsmail/A 51211-2019 tillsynsbegäran mail.docx", "A 51211-2019")</f>
        <v/>
      </c>
    </row>
    <row r="1111" ht="15" customHeight="1">
      <c r="A1111" t="inlineStr">
        <is>
          <t>A 51461-2019</t>
        </is>
      </c>
      <c r="B1111" s="1" t="n">
        <v>43740</v>
      </c>
      <c r="C1111" s="1" t="n">
        <v>45788</v>
      </c>
      <c r="D1111" t="inlineStr">
        <is>
          <t>VÄSTERBOTTENS LÄN</t>
        </is>
      </c>
      <c r="E1111" t="inlineStr">
        <is>
          <t>SKELLEFTEÅ</t>
        </is>
      </c>
      <c r="F1111" t="inlineStr">
        <is>
          <t>Sveaskog</t>
        </is>
      </c>
      <c r="G1111" t="n">
        <v>12.2</v>
      </c>
      <c r="H1111" t="n">
        <v>0</v>
      </c>
      <c r="I1111" t="n">
        <v>0</v>
      </c>
      <c r="J1111" t="n">
        <v>0</v>
      </c>
      <c r="K1111" t="n">
        <v>0</v>
      </c>
      <c r="L1111" t="n">
        <v>1</v>
      </c>
      <c r="M1111" t="n">
        <v>0</v>
      </c>
      <c r="N1111" t="n">
        <v>0</v>
      </c>
      <c r="O1111" t="n">
        <v>1</v>
      </c>
      <c r="P1111" t="n">
        <v>1</v>
      </c>
      <c r="Q1111" t="n">
        <v>1</v>
      </c>
      <c r="R1111" s="2" t="inlineStr">
        <is>
          <t>Flodpärlmussla</t>
        </is>
      </c>
      <c r="S1111">
        <f>HYPERLINK("https://klasma.github.io/Logging_2482/artfynd/A 51461-2019 artfynd.xlsx", "A 51461-2019")</f>
        <v/>
      </c>
      <c r="T1111">
        <f>HYPERLINK("https://klasma.github.io/Logging_2482/kartor/A 51461-2019 karta.png", "A 51461-2019")</f>
        <v/>
      </c>
      <c r="V1111">
        <f>HYPERLINK("https://klasma.github.io/Logging_2482/klagomål/A 51461-2019 FSC-klagomål.docx", "A 51461-2019")</f>
        <v/>
      </c>
      <c r="W1111">
        <f>HYPERLINK("https://klasma.github.io/Logging_2482/klagomålsmail/A 51461-2019 FSC-klagomål mail.docx", "A 51461-2019")</f>
        <v/>
      </c>
      <c r="X1111">
        <f>HYPERLINK("https://klasma.github.io/Logging_2482/tillsyn/A 51461-2019 tillsynsbegäran.docx", "A 51461-2019")</f>
        <v/>
      </c>
      <c r="Y1111">
        <f>HYPERLINK("https://klasma.github.io/Logging_2482/tillsynsmail/A 51461-2019 tillsynsbegäran mail.docx", "A 51461-2019")</f>
        <v/>
      </c>
    </row>
    <row r="1112" ht="15" customHeight="1">
      <c r="A1112" t="inlineStr">
        <is>
          <t>A 51774-2019</t>
        </is>
      </c>
      <c r="B1112" s="1" t="n">
        <v>43741</v>
      </c>
      <c r="C1112" s="1" t="n">
        <v>45788</v>
      </c>
      <c r="D1112" t="inlineStr">
        <is>
          <t>VÄSTERBOTTENS LÄN</t>
        </is>
      </c>
      <c r="E1112" t="inlineStr">
        <is>
          <t>VILHELMINA</t>
        </is>
      </c>
      <c r="F1112" t="inlineStr">
        <is>
          <t>Allmännings- och besparingsskogar</t>
        </is>
      </c>
      <c r="G1112" t="n">
        <v>19.9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51774-2019 artfynd.xlsx", "A 51774-2019")</f>
        <v/>
      </c>
      <c r="T1112">
        <f>HYPERLINK("https://klasma.github.io/Logging_2462/kartor/A 51774-2019 karta.png", "A 51774-2019")</f>
        <v/>
      </c>
      <c r="V1112">
        <f>HYPERLINK("https://klasma.github.io/Logging_2462/klagomål/A 51774-2019 FSC-klagomål.docx", "A 51774-2019")</f>
        <v/>
      </c>
      <c r="W1112">
        <f>HYPERLINK("https://klasma.github.io/Logging_2462/klagomålsmail/A 51774-2019 FSC-klagomål mail.docx", "A 51774-2019")</f>
        <v/>
      </c>
      <c r="X1112">
        <f>HYPERLINK("https://klasma.github.io/Logging_2462/tillsyn/A 51774-2019 tillsynsbegäran.docx", "A 51774-2019")</f>
        <v/>
      </c>
      <c r="Y1112">
        <f>HYPERLINK("https://klasma.github.io/Logging_2462/tillsynsmail/A 51774-2019 tillsynsbegäran mail.docx", "A 51774-2019")</f>
        <v/>
      </c>
      <c r="Z1112">
        <f>HYPERLINK("https://klasma.github.io/Logging_2462/fåglar/A 51774-2019 prioriterade fågelarter.docx", "A 51774-2019")</f>
        <v/>
      </c>
    </row>
    <row r="1113" ht="15" customHeight="1">
      <c r="A1113" t="inlineStr">
        <is>
          <t>A 53745-2019</t>
        </is>
      </c>
      <c r="B1113" s="1" t="n">
        <v>43749</v>
      </c>
      <c r="C1113" s="1" t="n">
        <v>45788</v>
      </c>
      <c r="D1113" t="inlineStr">
        <is>
          <t>VÄSTERBOTTENS LÄN</t>
        </is>
      </c>
      <c r="E1113" t="inlineStr">
        <is>
          <t>UMEÅ</t>
        </is>
      </c>
      <c r="G1113" t="n">
        <v>1.9</v>
      </c>
      <c r="H1113" t="n">
        <v>0</v>
      </c>
      <c r="I1113" t="n">
        <v>1</v>
      </c>
      <c r="J1113" t="n">
        <v>0</v>
      </c>
      <c r="K1113" t="n">
        <v>0</v>
      </c>
      <c r="L1113" t="n">
        <v>0</v>
      </c>
      <c r="M1113" t="n">
        <v>0</v>
      </c>
      <c r="N1113" t="n">
        <v>0</v>
      </c>
      <c r="O1113" t="n">
        <v>0</v>
      </c>
      <c r="P1113" t="n">
        <v>0</v>
      </c>
      <c r="Q1113" t="n">
        <v>1</v>
      </c>
      <c r="R1113" s="2" t="inlineStr">
        <is>
          <t>Strutbräken</t>
        </is>
      </c>
      <c r="S1113">
        <f>HYPERLINK("https://klasma.github.io/Logging_2480/artfynd/A 53745-2019 artfynd.xlsx", "A 53745-2019")</f>
        <v/>
      </c>
      <c r="T1113">
        <f>HYPERLINK("https://klasma.github.io/Logging_2480/kartor/A 53745-2019 karta.png", "A 53745-2019")</f>
        <v/>
      </c>
      <c r="V1113">
        <f>HYPERLINK("https://klasma.github.io/Logging_2480/klagomål/A 53745-2019 FSC-klagomål.docx", "A 53745-2019")</f>
        <v/>
      </c>
      <c r="W1113">
        <f>HYPERLINK("https://klasma.github.io/Logging_2480/klagomålsmail/A 53745-2019 FSC-klagomål mail.docx", "A 53745-2019")</f>
        <v/>
      </c>
      <c r="X1113">
        <f>HYPERLINK("https://klasma.github.io/Logging_2480/tillsyn/A 53745-2019 tillsynsbegäran.docx", "A 53745-2019")</f>
        <v/>
      </c>
      <c r="Y1113">
        <f>HYPERLINK("https://klasma.github.io/Logging_2480/tillsynsmail/A 53745-2019 tillsynsbegäran mail.docx", "A 53745-2019")</f>
        <v/>
      </c>
    </row>
    <row r="1114" ht="15" customHeight="1">
      <c r="A1114" t="inlineStr">
        <is>
          <t>A 54215-2019</t>
        </is>
      </c>
      <c r="B1114" s="1" t="n">
        <v>43753</v>
      </c>
      <c r="C1114" s="1" t="n">
        <v>45788</v>
      </c>
      <c r="D1114" t="inlineStr">
        <is>
          <t>VÄSTERBOTTENS LÄN</t>
        </is>
      </c>
      <c r="E1114" t="inlineStr">
        <is>
          <t>BJURHOLM</t>
        </is>
      </c>
      <c r="F1114" t="inlineStr">
        <is>
          <t>Holmen skog AB</t>
        </is>
      </c>
      <c r="G1114" t="n">
        <v>2.6</v>
      </c>
      <c r="H1114" t="n">
        <v>1</v>
      </c>
      <c r="I1114" t="n">
        <v>0</v>
      </c>
      <c r="J1114" t="n">
        <v>0</v>
      </c>
      <c r="K1114" t="n">
        <v>1</v>
      </c>
      <c r="L1114" t="n">
        <v>0</v>
      </c>
      <c r="M1114" t="n">
        <v>0</v>
      </c>
      <c r="N1114" t="n">
        <v>0</v>
      </c>
      <c r="O1114" t="n">
        <v>1</v>
      </c>
      <c r="P1114" t="n">
        <v>1</v>
      </c>
      <c r="Q1114" t="n">
        <v>1</v>
      </c>
      <c r="R1114" s="2" t="inlineStr">
        <is>
          <t>Knärot</t>
        </is>
      </c>
      <c r="S1114">
        <f>HYPERLINK("https://klasma.github.io/Logging_2403/artfynd/A 54215-2019 artfynd.xlsx", "A 54215-2019")</f>
        <v/>
      </c>
      <c r="T1114">
        <f>HYPERLINK("https://klasma.github.io/Logging_2403/kartor/A 54215-2019 karta.png", "A 54215-2019")</f>
        <v/>
      </c>
      <c r="U1114">
        <f>HYPERLINK("https://klasma.github.io/Logging_2403/knärot/A 54215-2019 karta knärot.png", "A 54215-2019")</f>
        <v/>
      </c>
      <c r="V1114">
        <f>HYPERLINK("https://klasma.github.io/Logging_2403/klagomål/A 54215-2019 FSC-klagomål.docx", "A 54215-2019")</f>
        <v/>
      </c>
      <c r="W1114">
        <f>HYPERLINK("https://klasma.github.io/Logging_2403/klagomålsmail/A 54215-2019 FSC-klagomål mail.docx", "A 54215-2019")</f>
        <v/>
      </c>
      <c r="X1114">
        <f>HYPERLINK("https://klasma.github.io/Logging_2403/tillsyn/A 54215-2019 tillsynsbegäran.docx", "A 54215-2019")</f>
        <v/>
      </c>
      <c r="Y1114">
        <f>HYPERLINK("https://klasma.github.io/Logging_2403/tillsynsmail/A 54215-2019 tillsynsbegäran mail.docx", "A 54215-2019")</f>
        <v/>
      </c>
    </row>
    <row r="1115" ht="15" customHeight="1">
      <c r="A1115" t="inlineStr">
        <is>
          <t>A 56907-2019</t>
        </is>
      </c>
      <c r="B1115" s="1" t="n">
        <v>43766</v>
      </c>
      <c r="C1115" s="1" t="n">
        <v>45788</v>
      </c>
      <c r="D1115" t="inlineStr">
        <is>
          <t>VÄSTERBOTTENS LÄN</t>
        </is>
      </c>
      <c r="E1115" t="inlineStr">
        <is>
          <t>STORUMAN</t>
        </is>
      </c>
      <c r="F1115" t="inlineStr">
        <is>
          <t>Sveaskog</t>
        </is>
      </c>
      <c r="G1115" t="n">
        <v>2</v>
      </c>
      <c r="H1115" t="n">
        <v>0</v>
      </c>
      <c r="I1115" t="n">
        <v>1</v>
      </c>
      <c r="J1115" t="n">
        <v>0</v>
      </c>
      <c r="K1115" t="n">
        <v>0</v>
      </c>
      <c r="L1115" t="n">
        <v>0</v>
      </c>
      <c r="M1115" t="n">
        <v>0</v>
      </c>
      <c r="N1115" t="n">
        <v>0</v>
      </c>
      <c r="O1115" t="n">
        <v>0</v>
      </c>
      <c r="P1115" t="n">
        <v>0</v>
      </c>
      <c r="Q1115" t="n">
        <v>1</v>
      </c>
      <c r="R1115" s="2" t="inlineStr">
        <is>
          <t>Skinnlav</t>
        </is>
      </c>
      <c r="S1115">
        <f>HYPERLINK("https://klasma.github.io/Logging_2421/artfynd/A 56907-2019 artfynd.xlsx", "A 56907-2019")</f>
        <v/>
      </c>
      <c r="T1115">
        <f>HYPERLINK("https://klasma.github.io/Logging_2421/kartor/A 56907-2019 karta.png", "A 56907-2019")</f>
        <v/>
      </c>
      <c r="V1115">
        <f>HYPERLINK("https://klasma.github.io/Logging_2421/klagomål/A 56907-2019 FSC-klagomål.docx", "A 56907-2019")</f>
        <v/>
      </c>
      <c r="W1115">
        <f>HYPERLINK("https://klasma.github.io/Logging_2421/klagomålsmail/A 56907-2019 FSC-klagomål mail.docx", "A 56907-2019")</f>
        <v/>
      </c>
      <c r="X1115">
        <f>HYPERLINK("https://klasma.github.io/Logging_2421/tillsyn/A 56907-2019 tillsynsbegäran.docx", "A 56907-2019")</f>
        <v/>
      </c>
      <c r="Y1115">
        <f>HYPERLINK("https://klasma.github.io/Logging_2421/tillsynsmail/A 56907-2019 tillsynsbegäran mail.docx", "A 56907-2019")</f>
        <v/>
      </c>
    </row>
    <row r="1116" ht="15" customHeight="1">
      <c r="A1116" t="inlineStr">
        <is>
          <t>A 59249-2019</t>
        </is>
      </c>
      <c r="B1116" s="1" t="n">
        <v>43775</v>
      </c>
      <c r="C1116" s="1" t="n">
        <v>45788</v>
      </c>
      <c r="D1116" t="inlineStr">
        <is>
          <t>VÄSTERBOTTENS LÄN</t>
        </is>
      </c>
      <c r="E1116" t="inlineStr">
        <is>
          <t>STORUMAN</t>
        </is>
      </c>
      <c r="F1116" t="inlineStr">
        <is>
          <t>Sveaskog</t>
        </is>
      </c>
      <c r="G1116" t="n">
        <v>4.1</v>
      </c>
      <c r="H1116" t="n">
        <v>1</v>
      </c>
      <c r="I1116" t="n">
        <v>0</v>
      </c>
      <c r="J1116" t="n">
        <v>0</v>
      </c>
      <c r="K1116" t="n">
        <v>0</v>
      </c>
      <c r="L1116" t="n">
        <v>0</v>
      </c>
      <c r="M1116" t="n">
        <v>0</v>
      </c>
      <c r="N1116" t="n">
        <v>0</v>
      </c>
      <c r="O1116" t="n">
        <v>0</v>
      </c>
      <c r="P1116" t="n">
        <v>0</v>
      </c>
      <c r="Q1116" t="n">
        <v>1</v>
      </c>
      <c r="R1116" s="2" t="inlineStr">
        <is>
          <t>Tjäder</t>
        </is>
      </c>
      <c r="S1116">
        <f>HYPERLINK("https://klasma.github.io/Logging_2421/artfynd/A 59249-2019 artfynd.xlsx", "A 59249-2019")</f>
        <v/>
      </c>
      <c r="T1116">
        <f>HYPERLINK("https://klasma.github.io/Logging_2421/kartor/A 59249-2019 karta.png", "A 59249-2019")</f>
        <v/>
      </c>
      <c r="V1116">
        <f>HYPERLINK("https://klasma.github.io/Logging_2421/klagomål/A 59249-2019 FSC-klagomål.docx", "A 59249-2019")</f>
        <v/>
      </c>
      <c r="W1116">
        <f>HYPERLINK("https://klasma.github.io/Logging_2421/klagomålsmail/A 59249-2019 FSC-klagomål mail.docx", "A 59249-2019")</f>
        <v/>
      </c>
      <c r="X1116">
        <f>HYPERLINK("https://klasma.github.io/Logging_2421/tillsyn/A 59249-2019 tillsynsbegäran.docx", "A 59249-2019")</f>
        <v/>
      </c>
      <c r="Y1116">
        <f>HYPERLINK("https://klasma.github.io/Logging_2421/tillsynsmail/A 59249-2019 tillsynsbegäran mail.docx", "A 59249-2019")</f>
        <v/>
      </c>
      <c r="Z1116">
        <f>HYPERLINK("https://klasma.github.io/Logging_2421/fåglar/A 59249-2019 prioriterade fågelarter.docx", "A 59249-2019")</f>
        <v/>
      </c>
    </row>
    <row r="1117" ht="15" customHeight="1">
      <c r="A1117" t="inlineStr">
        <is>
          <t>A 59424-2019</t>
        </is>
      </c>
      <c r="B1117" s="1" t="n">
        <v>43775</v>
      </c>
      <c r="C1117" s="1" t="n">
        <v>45788</v>
      </c>
      <c r="D1117" t="inlineStr">
        <is>
          <t>VÄSTERBOTTENS LÄN</t>
        </is>
      </c>
      <c r="E1117" t="inlineStr">
        <is>
          <t>VILHELMINA</t>
        </is>
      </c>
      <c r="G1117" t="n">
        <v>17.4</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59424-2019 artfynd.xlsx", "A 59424-2019")</f>
        <v/>
      </c>
      <c r="T1117">
        <f>HYPERLINK("https://klasma.github.io/Logging_2462/kartor/A 59424-2019 karta.png", "A 59424-2019")</f>
        <v/>
      </c>
      <c r="V1117">
        <f>HYPERLINK("https://klasma.github.io/Logging_2462/klagomål/A 59424-2019 FSC-klagomål.docx", "A 59424-2019")</f>
        <v/>
      </c>
      <c r="W1117">
        <f>HYPERLINK("https://klasma.github.io/Logging_2462/klagomålsmail/A 59424-2019 FSC-klagomål mail.docx", "A 59424-2019")</f>
        <v/>
      </c>
      <c r="X1117">
        <f>HYPERLINK("https://klasma.github.io/Logging_2462/tillsyn/A 59424-2019 tillsynsbegäran.docx", "A 59424-2019")</f>
        <v/>
      </c>
      <c r="Y1117">
        <f>HYPERLINK("https://klasma.github.io/Logging_2462/tillsynsmail/A 59424-2019 tillsynsbegäran mail.docx", "A 59424-2019")</f>
        <v/>
      </c>
    </row>
    <row r="1118" ht="15" customHeight="1">
      <c r="A1118" t="inlineStr">
        <is>
          <t>A 60563-2019</t>
        </is>
      </c>
      <c r="B1118" s="1" t="n">
        <v>43781</v>
      </c>
      <c r="C1118" s="1" t="n">
        <v>45788</v>
      </c>
      <c r="D1118" t="inlineStr">
        <is>
          <t>VÄSTERBOTTENS LÄN</t>
        </is>
      </c>
      <c r="E1118" t="inlineStr">
        <is>
          <t>LYCKSELE</t>
        </is>
      </c>
      <c r="F1118" t="inlineStr">
        <is>
          <t>Sveaskog</t>
        </is>
      </c>
      <c r="G1118" t="n">
        <v>25.1</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60563-2019 artfynd.xlsx", "A 60563-2019")</f>
        <v/>
      </c>
      <c r="T1118">
        <f>HYPERLINK("https://klasma.github.io/Logging_2481/kartor/A 60563-2019 karta.png", "A 60563-2019")</f>
        <v/>
      </c>
      <c r="V1118">
        <f>HYPERLINK("https://klasma.github.io/Logging_2481/klagomål/A 60563-2019 FSC-klagomål.docx", "A 60563-2019")</f>
        <v/>
      </c>
      <c r="W1118">
        <f>HYPERLINK("https://klasma.github.io/Logging_2481/klagomålsmail/A 60563-2019 FSC-klagomål mail.docx", "A 60563-2019")</f>
        <v/>
      </c>
      <c r="X1118">
        <f>HYPERLINK("https://klasma.github.io/Logging_2481/tillsyn/A 60563-2019 tillsynsbegäran.docx", "A 60563-2019")</f>
        <v/>
      </c>
      <c r="Y1118">
        <f>HYPERLINK("https://klasma.github.io/Logging_2481/tillsynsmail/A 60563-2019 tillsynsbegäran mail.docx", "A 60563-2019")</f>
        <v/>
      </c>
    </row>
    <row r="1119" ht="15" customHeight="1">
      <c r="A1119" t="inlineStr">
        <is>
          <t>A 61542-2019</t>
        </is>
      </c>
      <c r="B1119" s="1" t="n">
        <v>43784</v>
      </c>
      <c r="C1119" s="1" t="n">
        <v>45788</v>
      </c>
      <c r="D1119" t="inlineStr">
        <is>
          <t>VÄSTERBOTTENS LÄN</t>
        </is>
      </c>
      <c r="E1119" t="inlineStr">
        <is>
          <t>NORSJÖ</t>
        </is>
      </c>
      <c r="F1119" t="inlineStr">
        <is>
          <t>Sveaskog</t>
        </is>
      </c>
      <c r="G1119" t="n">
        <v>31.1</v>
      </c>
      <c r="H1119" t="n">
        <v>0</v>
      </c>
      <c r="I1119" t="n">
        <v>0</v>
      </c>
      <c r="J1119" t="n">
        <v>1</v>
      </c>
      <c r="K1119" t="n">
        <v>0</v>
      </c>
      <c r="L1119" t="n">
        <v>0</v>
      </c>
      <c r="M1119" t="n">
        <v>0</v>
      </c>
      <c r="N1119" t="n">
        <v>0</v>
      </c>
      <c r="O1119" t="n">
        <v>1</v>
      </c>
      <c r="P1119" t="n">
        <v>0</v>
      </c>
      <c r="Q1119" t="n">
        <v>1</v>
      </c>
      <c r="R1119" s="2" t="inlineStr">
        <is>
          <t>Lunglav</t>
        </is>
      </c>
      <c r="S1119">
        <f>HYPERLINK("https://klasma.github.io/Logging_2417/artfynd/A 61542-2019 artfynd.xlsx", "A 61542-2019")</f>
        <v/>
      </c>
      <c r="T1119">
        <f>HYPERLINK("https://klasma.github.io/Logging_2417/kartor/A 61542-2019 karta.png", "A 61542-2019")</f>
        <v/>
      </c>
      <c r="V1119">
        <f>HYPERLINK("https://klasma.github.io/Logging_2417/klagomål/A 61542-2019 FSC-klagomål.docx", "A 61542-2019")</f>
        <v/>
      </c>
      <c r="W1119">
        <f>HYPERLINK("https://klasma.github.io/Logging_2417/klagomålsmail/A 61542-2019 FSC-klagomål mail.docx", "A 61542-2019")</f>
        <v/>
      </c>
      <c r="X1119">
        <f>HYPERLINK("https://klasma.github.io/Logging_2417/tillsyn/A 61542-2019 tillsynsbegäran.docx", "A 61542-2019")</f>
        <v/>
      </c>
      <c r="Y1119">
        <f>HYPERLINK("https://klasma.github.io/Logging_2417/tillsynsmail/A 61542-2019 tillsynsbegäran mail.docx", "A 61542-2019")</f>
        <v/>
      </c>
    </row>
    <row r="1120" ht="15" customHeight="1">
      <c r="A1120" t="inlineStr">
        <is>
          <t>A 63411-2019</t>
        </is>
      </c>
      <c r="B1120" s="1" t="n">
        <v>43787</v>
      </c>
      <c r="C1120" s="1" t="n">
        <v>45788</v>
      </c>
      <c r="D1120" t="inlineStr">
        <is>
          <t>VÄSTERBOTTENS LÄN</t>
        </is>
      </c>
      <c r="E1120" t="inlineStr">
        <is>
          <t>NORDMALING</t>
        </is>
      </c>
      <c r="F1120" t="inlineStr">
        <is>
          <t>SCA</t>
        </is>
      </c>
      <c r="G1120" t="n">
        <v>6.3</v>
      </c>
      <c r="H1120" t="n">
        <v>0</v>
      </c>
      <c r="I1120" t="n">
        <v>1</v>
      </c>
      <c r="J1120" t="n">
        <v>0</v>
      </c>
      <c r="K1120" t="n">
        <v>0</v>
      </c>
      <c r="L1120" t="n">
        <v>0</v>
      </c>
      <c r="M1120" t="n">
        <v>0</v>
      </c>
      <c r="N1120" t="n">
        <v>0</v>
      </c>
      <c r="O1120" t="n">
        <v>0</v>
      </c>
      <c r="P1120" t="n">
        <v>0</v>
      </c>
      <c r="Q1120" t="n">
        <v>1</v>
      </c>
      <c r="R1120" s="2" t="inlineStr">
        <is>
          <t>Jättesvampmal</t>
        </is>
      </c>
      <c r="S1120">
        <f>HYPERLINK("https://klasma.github.io/Logging_2401/artfynd/A 63411-2019 artfynd.xlsx", "A 63411-2019")</f>
        <v/>
      </c>
      <c r="T1120">
        <f>HYPERLINK("https://klasma.github.io/Logging_2401/kartor/A 63411-2019 karta.png", "A 63411-2019")</f>
        <v/>
      </c>
      <c r="V1120">
        <f>HYPERLINK("https://klasma.github.io/Logging_2401/klagomål/A 63411-2019 FSC-klagomål.docx", "A 63411-2019")</f>
        <v/>
      </c>
      <c r="W1120">
        <f>HYPERLINK("https://klasma.github.io/Logging_2401/klagomålsmail/A 63411-2019 FSC-klagomål mail.docx", "A 63411-2019")</f>
        <v/>
      </c>
      <c r="X1120">
        <f>HYPERLINK("https://klasma.github.io/Logging_2401/tillsyn/A 63411-2019 tillsynsbegäran.docx", "A 63411-2019")</f>
        <v/>
      </c>
      <c r="Y1120">
        <f>HYPERLINK("https://klasma.github.io/Logging_2401/tillsynsmail/A 63411-2019 tillsynsbegäran mail.docx", "A 63411-2019")</f>
        <v/>
      </c>
    </row>
    <row r="1121" ht="15" customHeight="1">
      <c r="A1121" t="inlineStr">
        <is>
          <t>A 63673-2019</t>
        </is>
      </c>
      <c r="B1121" s="1" t="n">
        <v>43789</v>
      </c>
      <c r="C1121" s="1" t="n">
        <v>45788</v>
      </c>
      <c r="D1121" t="inlineStr">
        <is>
          <t>VÄSTERBOTTENS LÄN</t>
        </is>
      </c>
      <c r="E1121" t="inlineStr">
        <is>
          <t>STORUMAN</t>
        </is>
      </c>
      <c r="G1121" t="n">
        <v>4.1</v>
      </c>
      <c r="H1121" t="n">
        <v>1</v>
      </c>
      <c r="I1121" t="n">
        <v>0</v>
      </c>
      <c r="J1121" t="n">
        <v>0</v>
      </c>
      <c r="K1121" t="n">
        <v>1</v>
      </c>
      <c r="L1121" t="n">
        <v>0</v>
      </c>
      <c r="M1121" t="n">
        <v>0</v>
      </c>
      <c r="N1121" t="n">
        <v>0</v>
      </c>
      <c r="O1121" t="n">
        <v>1</v>
      </c>
      <c r="P1121" t="n">
        <v>1</v>
      </c>
      <c r="Q1121" t="n">
        <v>1</v>
      </c>
      <c r="R1121" s="2" t="inlineStr">
        <is>
          <t>Doftticka</t>
        </is>
      </c>
      <c r="S1121">
        <f>HYPERLINK("https://klasma.github.io/Logging_2421/artfynd/A 63673-2019 artfynd.xlsx", "A 63673-2019")</f>
        <v/>
      </c>
      <c r="T1121">
        <f>HYPERLINK("https://klasma.github.io/Logging_2421/kartor/A 63673-2019 karta.png", "A 63673-2019")</f>
        <v/>
      </c>
      <c r="V1121">
        <f>HYPERLINK("https://klasma.github.io/Logging_2421/klagomål/A 63673-2019 FSC-klagomål.docx", "A 63673-2019")</f>
        <v/>
      </c>
      <c r="W1121">
        <f>HYPERLINK("https://klasma.github.io/Logging_2421/klagomålsmail/A 63673-2019 FSC-klagomål mail.docx", "A 63673-2019")</f>
        <v/>
      </c>
      <c r="X1121">
        <f>HYPERLINK("https://klasma.github.io/Logging_2421/tillsyn/A 63673-2019 tillsynsbegäran.docx", "A 63673-2019")</f>
        <v/>
      </c>
      <c r="Y1121">
        <f>HYPERLINK("https://klasma.github.io/Logging_2421/tillsynsmail/A 63673-2019 tillsynsbegäran mail.docx", "A 63673-2019")</f>
        <v/>
      </c>
    </row>
    <row r="1122" ht="15" customHeight="1">
      <c r="A1122" t="inlineStr">
        <is>
          <t>A 63709-2019</t>
        </is>
      </c>
      <c r="B1122" s="1" t="n">
        <v>43795</v>
      </c>
      <c r="C1122" s="1" t="n">
        <v>45788</v>
      </c>
      <c r="D1122" t="inlineStr">
        <is>
          <t>VÄSTERBOTTENS LÄN</t>
        </is>
      </c>
      <c r="E1122" t="inlineStr">
        <is>
          <t>SKELLEFTEÅ</t>
        </is>
      </c>
      <c r="F1122" t="inlineStr">
        <is>
          <t>Sveaskog</t>
        </is>
      </c>
      <c r="G1122" t="n">
        <v>39.7</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63709-2019 artfynd.xlsx", "A 63709-2019")</f>
        <v/>
      </c>
      <c r="T1122">
        <f>HYPERLINK("https://klasma.github.io/Logging_2482/kartor/A 63709-2019 karta.png", "A 63709-2019")</f>
        <v/>
      </c>
      <c r="V1122">
        <f>HYPERLINK("https://klasma.github.io/Logging_2482/klagomål/A 63709-2019 FSC-klagomål.docx", "A 63709-2019")</f>
        <v/>
      </c>
      <c r="W1122">
        <f>HYPERLINK("https://klasma.github.io/Logging_2482/klagomålsmail/A 63709-2019 FSC-klagomål mail.docx", "A 63709-2019")</f>
        <v/>
      </c>
      <c r="X1122">
        <f>HYPERLINK("https://klasma.github.io/Logging_2482/tillsyn/A 63709-2019 tillsynsbegäran.docx", "A 63709-2019")</f>
        <v/>
      </c>
      <c r="Y1122">
        <f>HYPERLINK("https://klasma.github.io/Logging_2482/tillsynsmail/A 63709-2019 tillsynsbegäran mail.docx", "A 63709-2019")</f>
        <v/>
      </c>
    </row>
    <row r="1123" ht="15" customHeight="1">
      <c r="A1123" t="inlineStr">
        <is>
          <t>A 65562-2019</t>
        </is>
      </c>
      <c r="B1123" s="1" t="n">
        <v>43803</v>
      </c>
      <c r="C1123" s="1" t="n">
        <v>45788</v>
      </c>
      <c r="D1123" t="inlineStr">
        <is>
          <t>VÄSTERBOTTENS LÄN</t>
        </is>
      </c>
      <c r="E1123" t="inlineStr">
        <is>
          <t>ÅSELE</t>
        </is>
      </c>
      <c r="F1123" t="inlineStr">
        <is>
          <t>SCA</t>
        </is>
      </c>
      <c r="G1123" t="n">
        <v>5.8</v>
      </c>
      <c r="H1123" t="n">
        <v>0</v>
      </c>
      <c r="I1123" t="n">
        <v>0</v>
      </c>
      <c r="J1123" t="n">
        <v>1</v>
      </c>
      <c r="K1123" t="n">
        <v>0</v>
      </c>
      <c r="L1123" t="n">
        <v>0</v>
      </c>
      <c r="M1123" t="n">
        <v>0</v>
      </c>
      <c r="N1123" t="n">
        <v>0</v>
      </c>
      <c r="O1123" t="n">
        <v>1</v>
      </c>
      <c r="P1123" t="n">
        <v>0</v>
      </c>
      <c r="Q1123" t="n">
        <v>1</v>
      </c>
      <c r="R1123" s="2" t="inlineStr">
        <is>
          <t>Rosenticka</t>
        </is>
      </c>
      <c r="S1123">
        <f>HYPERLINK("https://klasma.github.io/Logging_2463/artfynd/A 65562-2019 artfynd.xlsx", "A 65562-2019")</f>
        <v/>
      </c>
      <c r="T1123">
        <f>HYPERLINK("https://klasma.github.io/Logging_2463/kartor/A 65562-2019 karta.png", "A 65562-2019")</f>
        <v/>
      </c>
      <c r="V1123">
        <f>HYPERLINK("https://klasma.github.io/Logging_2463/klagomål/A 65562-2019 FSC-klagomål.docx", "A 65562-2019")</f>
        <v/>
      </c>
      <c r="W1123">
        <f>HYPERLINK("https://klasma.github.io/Logging_2463/klagomålsmail/A 65562-2019 FSC-klagomål mail.docx", "A 65562-2019")</f>
        <v/>
      </c>
      <c r="X1123">
        <f>HYPERLINK("https://klasma.github.io/Logging_2463/tillsyn/A 65562-2019 tillsynsbegäran.docx", "A 65562-2019")</f>
        <v/>
      </c>
      <c r="Y1123">
        <f>HYPERLINK("https://klasma.github.io/Logging_2463/tillsynsmail/A 65562-2019 tillsynsbegäran mail.docx", "A 65562-2019")</f>
        <v/>
      </c>
    </row>
    <row r="1124" ht="15" customHeight="1">
      <c r="A1124" t="inlineStr">
        <is>
          <t>A 67975-2019</t>
        </is>
      </c>
      <c r="B1124" s="1" t="n">
        <v>43816</v>
      </c>
      <c r="C1124" s="1" t="n">
        <v>45788</v>
      </c>
      <c r="D1124" t="inlineStr">
        <is>
          <t>VÄSTERBOTTENS LÄN</t>
        </is>
      </c>
      <c r="E1124" t="inlineStr">
        <is>
          <t>LYCKSELE</t>
        </is>
      </c>
      <c r="F1124" t="inlineStr">
        <is>
          <t>Sveaskog</t>
        </is>
      </c>
      <c r="G1124" t="n">
        <v>11.5</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67975-2019 artfynd.xlsx", "A 67975-2019")</f>
        <v/>
      </c>
      <c r="T1124">
        <f>HYPERLINK("https://klasma.github.io/Logging_2481/kartor/A 67975-2019 karta.png", "A 67975-2019")</f>
        <v/>
      </c>
      <c r="V1124">
        <f>HYPERLINK("https://klasma.github.io/Logging_2481/klagomål/A 67975-2019 FSC-klagomål.docx", "A 67975-2019")</f>
        <v/>
      </c>
      <c r="W1124">
        <f>HYPERLINK("https://klasma.github.io/Logging_2481/klagomålsmail/A 67975-2019 FSC-klagomål mail.docx", "A 67975-2019")</f>
        <v/>
      </c>
      <c r="X1124">
        <f>HYPERLINK("https://klasma.github.io/Logging_2481/tillsyn/A 67975-2019 tillsynsbegäran.docx", "A 67975-2019")</f>
        <v/>
      </c>
      <c r="Y1124">
        <f>HYPERLINK("https://klasma.github.io/Logging_2481/tillsynsmail/A 67975-2019 tillsynsbegäran mail.docx", "A 67975-2019")</f>
        <v/>
      </c>
    </row>
    <row r="1125" ht="15" customHeight="1">
      <c r="A1125" t="inlineStr">
        <is>
          <t>A 68098-2019</t>
        </is>
      </c>
      <c r="B1125" s="1" t="n">
        <v>43817</v>
      </c>
      <c r="C1125" s="1" t="n">
        <v>45788</v>
      </c>
      <c r="D1125" t="inlineStr">
        <is>
          <t>VÄSTERBOTTENS LÄN</t>
        </is>
      </c>
      <c r="E1125" t="inlineStr">
        <is>
          <t>LYCKSELE</t>
        </is>
      </c>
      <c r="F1125" t="inlineStr">
        <is>
          <t>Sveaskog</t>
        </is>
      </c>
      <c r="G1125" t="n">
        <v>5.1</v>
      </c>
      <c r="H1125" t="n">
        <v>0</v>
      </c>
      <c r="I1125" t="n">
        <v>0</v>
      </c>
      <c r="J1125" t="n">
        <v>1</v>
      </c>
      <c r="K1125" t="n">
        <v>0</v>
      </c>
      <c r="L1125" t="n">
        <v>0</v>
      </c>
      <c r="M1125" t="n">
        <v>0</v>
      </c>
      <c r="N1125" t="n">
        <v>0</v>
      </c>
      <c r="O1125" t="n">
        <v>1</v>
      </c>
      <c r="P1125" t="n">
        <v>0</v>
      </c>
      <c r="Q1125" t="n">
        <v>1</v>
      </c>
      <c r="R1125" s="2" t="inlineStr">
        <is>
          <t>Harticka</t>
        </is>
      </c>
      <c r="S1125">
        <f>HYPERLINK("https://klasma.github.io/Logging_2481/artfynd/A 68098-2019 artfynd.xlsx", "A 68098-2019")</f>
        <v/>
      </c>
      <c r="T1125">
        <f>HYPERLINK("https://klasma.github.io/Logging_2481/kartor/A 68098-2019 karta.png", "A 68098-2019")</f>
        <v/>
      </c>
      <c r="V1125">
        <f>HYPERLINK("https://klasma.github.io/Logging_2481/klagomål/A 68098-2019 FSC-klagomål.docx", "A 68098-2019")</f>
        <v/>
      </c>
      <c r="W1125">
        <f>HYPERLINK("https://klasma.github.io/Logging_2481/klagomålsmail/A 68098-2019 FSC-klagomål mail.docx", "A 68098-2019")</f>
        <v/>
      </c>
      <c r="X1125">
        <f>HYPERLINK("https://klasma.github.io/Logging_2481/tillsyn/A 68098-2019 tillsynsbegäran.docx", "A 68098-2019")</f>
        <v/>
      </c>
      <c r="Y1125">
        <f>HYPERLINK("https://klasma.github.io/Logging_2481/tillsynsmail/A 68098-2019 tillsynsbegäran mail.docx", "A 68098-2019")</f>
        <v/>
      </c>
    </row>
    <row r="1126" ht="15" customHeight="1">
      <c r="A1126" t="inlineStr">
        <is>
          <t>A 10-2020</t>
        </is>
      </c>
      <c r="B1126" s="1" t="n">
        <v>43831</v>
      </c>
      <c r="C1126" s="1" t="n">
        <v>45788</v>
      </c>
      <c r="D1126" t="inlineStr">
        <is>
          <t>VÄSTERBOTTENS LÄN</t>
        </is>
      </c>
      <c r="E1126" t="inlineStr">
        <is>
          <t>SORSELE</t>
        </is>
      </c>
      <c r="G1126" t="n">
        <v>2.3</v>
      </c>
      <c r="H1126" t="n">
        <v>1</v>
      </c>
      <c r="I1126" t="n">
        <v>0</v>
      </c>
      <c r="J1126" t="n">
        <v>0</v>
      </c>
      <c r="K1126" t="n">
        <v>0</v>
      </c>
      <c r="L1126" t="n">
        <v>0</v>
      </c>
      <c r="M1126" t="n">
        <v>0</v>
      </c>
      <c r="N1126" t="n">
        <v>0</v>
      </c>
      <c r="O1126" t="n">
        <v>0</v>
      </c>
      <c r="P1126" t="n">
        <v>0</v>
      </c>
      <c r="Q1126" t="n">
        <v>1</v>
      </c>
      <c r="R1126" s="2" t="inlineStr">
        <is>
          <t>Sångsvan</t>
        </is>
      </c>
      <c r="S1126">
        <f>HYPERLINK("https://klasma.github.io/Logging_2422/artfynd/A 10-2020 artfynd.xlsx", "A 10-2020")</f>
        <v/>
      </c>
      <c r="T1126">
        <f>HYPERLINK("https://klasma.github.io/Logging_2422/kartor/A 10-2020 karta.png", "A 10-2020")</f>
        <v/>
      </c>
      <c r="V1126">
        <f>HYPERLINK("https://klasma.github.io/Logging_2422/klagomål/A 10-2020 FSC-klagomål.docx", "A 10-2020")</f>
        <v/>
      </c>
      <c r="W1126">
        <f>HYPERLINK("https://klasma.github.io/Logging_2422/klagomålsmail/A 10-2020 FSC-klagomål mail.docx", "A 10-2020")</f>
        <v/>
      </c>
      <c r="X1126">
        <f>HYPERLINK("https://klasma.github.io/Logging_2422/tillsyn/A 10-2020 tillsynsbegäran.docx", "A 10-2020")</f>
        <v/>
      </c>
      <c r="Y1126">
        <f>HYPERLINK("https://klasma.github.io/Logging_2422/tillsynsmail/A 10-2020 tillsynsbegäran mail.docx", "A 10-2020")</f>
        <v/>
      </c>
      <c r="Z1126">
        <f>HYPERLINK("https://klasma.github.io/Logging_2422/fåglar/A 10-2020 prioriterade fågelarter.docx", "A 10-2020")</f>
        <v/>
      </c>
    </row>
    <row r="1127" ht="15" customHeight="1">
      <c r="A1127" t="inlineStr">
        <is>
          <t>A 220-2020</t>
        </is>
      </c>
      <c r="B1127" s="1" t="n">
        <v>43833</v>
      </c>
      <c r="C1127" s="1" t="n">
        <v>45788</v>
      </c>
      <c r="D1127" t="inlineStr">
        <is>
          <t>VÄSTERBOTTENS LÄN</t>
        </is>
      </c>
      <c r="E1127" t="inlineStr">
        <is>
          <t>VILHELMINA</t>
        </is>
      </c>
      <c r="F1127" t="inlineStr">
        <is>
          <t>SCA</t>
        </is>
      </c>
      <c r="G1127" t="n">
        <v>3.2</v>
      </c>
      <c r="H1127" t="n">
        <v>0</v>
      </c>
      <c r="I1127" t="n">
        <v>0</v>
      </c>
      <c r="J1127" t="n">
        <v>1</v>
      </c>
      <c r="K1127" t="n">
        <v>0</v>
      </c>
      <c r="L1127" t="n">
        <v>0</v>
      </c>
      <c r="M1127" t="n">
        <v>0</v>
      </c>
      <c r="N1127" t="n">
        <v>0</v>
      </c>
      <c r="O1127" t="n">
        <v>1</v>
      </c>
      <c r="P1127" t="n">
        <v>0</v>
      </c>
      <c r="Q1127" t="n">
        <v>1</v>
      </c>
      <c r="R1127" s="2" t="inlineStr">
        <is>
          <t>Vedskivlav</t>
        </is>
      </c>
      <c r="S1127">
        <f>HYPERLINK("https://klasma.github.io/Logging_2462/artfynd/A 220-2020 artfynd.xlsx", "A 220-2020")</f>
        <v/>
      </c>
      <c r="T1127">
        <f>HYPERLINK("https://klasma.github.io/Logging_2462/kartor/A 220-2020 karta.png", "A 220-2020")</f>
        <v/>
      </c>
      <c r="V1127">
        <f>HYPERLINK("https://klasma.github.io/Logging_2462/klagomål/A 220-2020 FSC-klagomål.docx", "A 220-2020")</f>
        <v/>
      </c>
      <c r="W1127">
        <f>HYPERLINK("https://klasma.github.io/Logging_2462/klagomålsmail/A 220-2020 FSC-klagomål mail.docx", "A 220-2020")</f>
        <v/>
      </c>
      <c r="X1127">
        <f>HYPERLINK("https://klasma.github.io/Logging_2462/tillsyn/A 220-2020 tillsynsbegäran.docx", "A 220-2020")</f>
        <v/>
      </c>
      <c r="Y1127">
        <f>HYPERLINK("https://klasma.github.io/Logging_2462/tillsynsmail/A 220-2020 tillsynsbegäran mail.docx", "A 220-2020")</f>
        <v/>
      </c>
    </row>
    <row r="1128" ht="15" customHeight="1">
      <c r="A1128" t="inlineStr">
        <is>
          <t>A 495-2020</t>
        </is>
      </c>
      <c r="B1128" s="1" t="n">
        <v>43837</v>
      </c>
      <c r="C1128" s="1" t="n">
        <v>45788</v>
      </c>
      <c r="D1128" t="inlineStr">
        <is>
          <t>VÄSTERBOTTENS LÄN</t>
        </is>
      </c>
      <c r="E1128" t="inlineStr">
        <is>
          <t>BJURHOLM</t>
        </is>
      </c>
      <c r="F1128" t="inlineStr">
        <is>
          <t>Sveaskog</t>
        </is>
      </c>
      <c r="G1128" t="n">
        <v>10.7</v>
      </c>
      <c r="H1128" t="n">
        <v>0</v>
      </c>
      <c r="I1128" t="n">
        <v>0</v>
      </c>
      <c r="J1128" t="n">
        <v>1</v>
      </c>
      <c r="K1128" t="n">
        <v>0</v>
      </c>
      <c r="L1128" t="n">
        <v>0</v>
      </c>
      <c r="M1128" t="n">
        <v>0</v>
      </c>
      <c r="N1128" t="n">
        <v>0</v>
      </c>
      <c r="O1128" t="n">
        <v>1</v>
      </c>
      <c r="P1128" t="n">
        <v>0</v>
      </c>
      <c r="Q1128" t="n">
        <v>1</v>
      </c>
      <c r="R1128" s="2" t="inlineStr">
        <is>
          <t>Lunglav</t>
        </is>
      </c>
      <c r="S1128">
        <f>HYPERLINK("https://klasma.github.io/Logging_2403/artfynd/A 495-2020 artfynd.xlsx", "A 495-2020")</f>
        <v/>
      </c>
      <c r="T1128">
        <f>HYPERLINK("https://klasma.github.io/Logging_2403/kartor/A 495-2020 karta.png", "A 495-2020")</f>
        <v/>
      </c>
      <c r="V1128">
        <f>HYPERLINK("https://klasma.github.io/Logging_2403/klagomål/A 495-2020 FSC-klagomål.docx", "A 495-2020")</f>
        <v/>
      </c>
      <c r="W1128">
        <f>HYPERLINK("https://klasma.github.io/Logging_2403/klagomålsmail/A 495-2020 FSC-klagomål mail.docx", "A 495-2020")</f>
        <v/>
      </c>
      <c r="X1128">
        <f>HYPERLINK("https://klasma.github.io/Logging_2403/tillsyn/A 495-2020 tillsynsbegäran.docx", "A 495-2020")</f>
        <v/>
      </c>
      <c r="Y1128">
        <f>HYPERLINK("https://klasma.github.io/Logging_2403/tillsynsmail/A 495-2020 tillsynsbegäran mail.docx", "A 495-2020")</f>
        <v/>
      </c>
    </row>
    <row r="1129" ht="15" customHeight="1">
      <c r="A1129" t="inlineStr">
        <is>
          <t>A 546-2020</t>
        </is>
      </c>
      <c r="B1129" s="1" t="n">
        <v>43837</v>
      </c>
      <c r="C1129" s="1" t="n">
        <v>45788</v>
      </c>
      <c r="D1129" t="inlineStr">
        <is>
          <t>VÄSTERBOTTENS LÄN</t>
        </is>
      </c>
      <c r="E1129" t="inlineStr">
        <is>
          <t>VILHELMINA</t>
        </is>
      </c>
      <c r="F1129" t="inlineStr">
        <is>
          <t>SCA</t>
        </is>
      </c>
      <c r="G1129" t="n">
        <v>3.1</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546-2020 artfynd.xlsx", "A 546-2020")</f>
        <v/>
      </c>
      <c r="T1129">
        <f>HYPERLINK("https://klasma.github.io/Logging_2462/kartor/A 546-2020 karta.png", "A 546-2020")</f>
        <v/>
      </c>
      <c r="V1129">
        <f>HYPERLINK("https://klasma.github.io/Logging_2462/klagomål/A 546-2020 FSC-klagomål.docx", "A 546-2020")</f>
        <v/>
      </c>
      <c r="W1129">
        <f>HYPERLINK("https://klasma.github.io/Logging_2462/klagomålsmail/A 546-2020 FSC-klagomål mail.docx", "A 546-2020")</f>
        <v/>
      </c>
      <c r="X1129">
        <f>HYPERLINK("https://klasma.github.io/Logging_2462/tillsyn/A 546-2020 tillsynsbegäran.docx", "A 546-2020")</f>
        <v/>
      </c>
      <c r="Y1129">
        <f>HYPERLINK("https://klasma.github.io/Logging_2462/tillsynsmail/A 546-2020 tillsynsbegäran mail.docx", "A 546-2020")</f>
        <v/>
      </c>
    </row>
    <row r="1130" ht="15" customHeight="1">
      <c r="A1130" t="inlineStr">
        <is>
          <t>A 1978-2020</t>
        </is>
      </c>
      <c r="B1130" s="1" t="n">
        <v>43838</v>
      </c>
      <c r="C1130" s="1" t="n">
        <v>45788</v>
      </c>
      <c r="D1130" t="inlineStr">
        <is>
          <t>VÄSTERBOTTENS LÄN</t>
        </is>
      </c>
      <c r="E1130" t="inlineStr">
        <is>
          <t>DOROTEA</t>
        </is>
      </c>
      <c r="G1130" t="n">
        <v>3.4</v>
      </c>
      <c r="H1130" t="n">
        <v>1</v>
      </c>
      <c r="I1130" t="n">
        <v>0</v>
      </c>
      <c r="J1130" t="n">
        <v>1</v>
      </c>
      <c r="K1130" t="n">
        <v>0</v>
      </c>
      <c r="L1130" t="n">
        <v>0</v>
      </c>
      <c r="M1130" t="n">
        <v>0</v>
      </c>
      <c r="N1130" t="n">
        <v>0</v>
      </c>
      <c r="O1130" t="n">
        <v>1</v>
      </c>
      <c r="P1130" t="n">
        <v>0</v>
      </c>
      <c r="Q1130" t="n">
        <v>1</v>
      </c>
      <c r="R1130" s="2" t="inlineStr">
        <is>
          <t>Rosenfink</t>
        </is>
      </c>
      <c r="S1130">
        <f>HYPERLINK("https://klasma.github.io/Logging_2425/artfynd/A 1978-2020 artfynd.xlsx", "A 1978-2020")</f>
        <v/>
      </c>
      <c r="T1130">
        <f>HYPERLINK("https://klasma.github.io/Logging_2425/kartor/A 1978-2020 karta.png", "A 1978-2020")</f>
        <v/>
      </c>
      <c r="V1130">
        <f>HYPERLINK("https://klasma.github.io/Logging_2425/klagomål/A 1978-2020 FSC-klagomål.docx", "A 1978-2020")</f>
        <v/>
      </c>
      <c r="W1130">
        <f>HYPERLINK("https://klasma.github.io/Logging_2425/klagomålsmail/A 1978-2020 FSC-klagomål mail.docx", "A 1978-2020")</f>
        <v/>
      </c>
      <c r="X1130">
        <f>HYPERLINK("https://klasma.github.io/Logging_2425/tillsyn/A 1978-2020 tillsynsbegäran.docx", "A 1978-2020")</f>
        <v/>
      </c>
      <c r="Y1130">
        <f>HYPERLINK("https://klasma.github.io/Logging_2425/tillsynsmail/A 1978-2020 tillsynsbegäran mail.docx", "A 1978-2020")</f>
        <v/>
      </c>
      <c r="Z1130">
        <f>HYPERLINK("https://klasma.github.io/Logging_2425/fåglar/A 1978-2020 prioriterade fågelarter.docx", "A 1978-2020")</f>
        <v/>
      </c>
    </row>
    <row r="1131" ht="15" customHeight="1">
      <c r="A1131" t="inlineStr">
        <is>
          <t>A 4439-2020</t>
        </is>
      </c>
      <c r="B1131" s="1" t="n">
        <v>43858</v>
      </c>
      <c r="C1131" s="1" t="n">
        <v>45788</v>
      </c>
      <c r="D1131" t="inlineStr">
        <is>
          <t>VÄSTERBOTTENS LÄN</t>
        </is>
      </c>
      <c r="E1131" t="inlineStr">
        <is>
          <t>SORSELE</t>
        </is>
      </c>
      <c r="F1131" t="inlineStr">
        <is>
          <t>Sveaskog</t>
        </is>
      </c>
      <c r="G1131" t="n">
        <v>7.5</v>
      </c>
      <c r="H1131" t="n">
        <v>0</v>
      </c>
      <c r="I1131" t="n">
        <v>0</v>
      </c>
      <c r="J1131" t="n">
        <v>0</v>
      </c>
      <c r="K1131" t="n">
        <v>1</v>
      </c>
      <c r="L1131" t="n">
        <v>0</v>
      </c>
      <c r="M1131" t="n">
        <v>0</v>
      </c>
      <c r="N1131" t="n">
        <v>0</v>
      </c>
      <c r="O1131" t="n">
        <v>1</v>
      </c>
      <c r="P1131" t="n">
        <v>1</v>
      </c>
      <c r="Q1131" t="n">
        <v>1</v>
      </c>
      <c r="R1131" s="2" t="inlineStr">
        <is>
          <t>Torrmusseron</t>
        </is>
      </c>
      <c r="S1131">
        <f>HYPERLINK("https://klasma.github.io/Logging_2422/artfynd/A 4439-2020 artfynd.xlsx", "A 4439-2020")</f>
        <v/>
      </c>
      <c r="T1131">
        <f>HYPERLINK("https://klasma.github.io/Logging_2422/kartor/A 4439-2020 karta.png", "A 4439-2020")</f>
        <v/>
      </c>
      <c r="V1131">
        <f>HYPERLINK("https://klasma.github.io/Logging_2422/klagomål/A 4439-2020 FSC-klagomål.docx", "A 4439-2020")</f>
        <v/>
      </c>
      <c r="W1131">
        <f>HYPERLINK("https://klasma.github.io/Logging_2422/klagomålsmail/A 4439-2020 FSC-klagomål mail.docx", "A 4439-2020")</f>
        <v/>
      </c>
      <c r="X1131">
        <f>HYPERLINK("https://klasma.github.io/Logging_2422/tillsyn/A 4439-2020 tillsynsbegäran.docx", "A 4439-2020")</f>
        <v/>
      </c>
      <c r="Y1131">
        <f>HYPERLINK("https://klasma.github.io/Logging_2422/tillsynsmail/A 4439-2020 tillsynsbegäran mail.docx", "A 4439-2020")</f>
        <v/>
      </c>
    </row>
    <row r="1132" ht="15" customHeight="1">
      <c r="A1132" t="inlineStr">
        <is>
          <t>A 5716-2020</t>
        </is>
      </c>
      <c r="B1132" s="1" t="n">
        <v>43862</v>
      </c>
      <c r="C1132" s="1" t="n">
        <v>45788</v>
      </c>
      <c r="D1132" t="inlineStr">
        <is>
          <t>VÄSTERBOTTENS LÄN</t>
        </is>
      </c>
      <c r="E1132" t="inlineStr">
        <is>
          <t>VINDELN</t>
        </is>
      </c>
      <c r="G1132" t="n">
        <v>9.6</v>
      </c>
      <c r="H1132" t="n">
        <v>0</v>
      </c>
      <c r="I1132" t="n">
        <v>1</v>
      </c>
      <c r="J1132" t="n">
        <v>0</v>
      </c>
      <c r="K1132" t="n">
        <v>0</v>
      </c>
      <c r="L1132" t="n">
        <v>0</v>
      </c>
      <c r="M1132" t="n">
        <v>0</v>
      </c>
      <c r="N1132" t="n">
        <v>0</v>
      </c>
      <c r="O1132" t="n">
        <v>0</v>
      </c>
      <c r="P1132" t="n">
        <v>0</v>
      </c>
      <c r="Q1132" t="n">
        <v>1</v>
      </c>
      <c r="R1132" s="2" t="inlineStr">
        <is>
          <t>Källpraktmossa</t>
        </is>
      </c>
      <c r="S1132">
        <f>HYPERLINK("https://klasma.github.io/Logging_2404/artfynd/A 5716-2020 artfynd.xlsx", "A 5716-2020")</f>
        <v/>
      </c>
      <c r="T1132">
        <f>HYPERLINK("https://klasma.github.io/Logging_2404/kartor/A 5716-2020 karta.png", "A 5716-2020")</f>
        <v/>
      </c>
      <c r="V1132">
        <f>HYPERLINK("https://klasma.github.io/Logging_2404/klagomål/A 5716-2020 FSC-klagomål.docx", "A 5716-2020")</f>
        <v/>
      </c>
      <c r="W1132">
        <f>HYPERLINK("https://klasma.github.io/Logging_2404/klagomålsmail/A 5716-2020 FSC-klagomål mail.docx", "A 5716-2020")</f>
        <v/>
      </c>
      <c r="X1132">
        <f>HYPERLINK("https://klasma.github.io/Logging_2404/tillsyn/A 5716-2020 tillsynsbegäran.docx", "A 5716-2020")</f>
        <v/>
      </c>
      <c r="Y1132">
        <f>HYPERLINK("https://klasma.github.io/Logging_2404/tillsynsmail/A 5716-2020 tillsynsbegäran mail.docx", "A 5716-2020")</f>
        <v/>
      </c>
    </row>
    <row r="1133" ht="15" customHeight="1">
      <c r="A1133" t="inlineStr">
        <is>
          <t>A 5772-2020</t>
        </is>
      </c>
      <c r="B1133" s="1" t="n">
        <v>43864</v>
      </c>
      <c r="C1133" s="1" t="n">
        <v>45788</v>
      </c>
      <c r="D1133" t="inlineStr">
        <is>
          <t>VÄSTERBOTTENS LÄN</t>
        </is>
      </c>
      <c r="E1133" t="inlineStr">
        <is>
          <t>NORSJÖ</t>
        </is>
      </c>
      <c r="G1133" t="n">
        <v>2.7</v>
      </c>
      <c r="H1133" t="n">
        <v>1</v>
      </c>
      <c r="I1133" t="n">
        <v>0</v>
      </c>
      <c r="J1133" t="n">
        <v>1</v>
      </c>
      <c r="K1133" t="n">
        <v>0</v>
      </c>
      <c r="L1133" t="n">
        <v>0</v>
      </c>
      <c r="M1133" t="n">
        <v>0</v>
      </c>
      <c r="N1133" t="n">
        <v>0</v>
      </c>
      <c r="O1133" t="n">
        <v>1</v>
      </c>
      <c r="P1133" t="n">
        <v>0</v>
      </c>
      <c r="Q1133" t="n">
        <v>1</v>
      </c>
      <c r="R1133" s="2" t="inlineStr">
        <is>
          <t>Järpe</t>
        </is>
      </c>
      <c r="S1133">
        <f>HYPERLINK("https://klasma.github.io/Logging_2417/artfynd/A 5772-2020 artfynd.xlsx", "A 5772-2020")</f>
        <v/>
      </c>
      <c r="T1133">
        <f>HYPERLINK("https://klasma.github.io/Logging_2417/kartor/A 5772-2020 karta.png", "A 5772-2020")</f>
        <v/>
      </c>
      <c r="V1133">
        <f>HYPERLINK("https://klasma.github.io/Logging_2417/klagomål/A 5772-2020 FSC-klagomål.docx", "A 5772-2020")</f>
        <v/>
      </c>
      <c r="W1133">
        <f>HYPERLINK("https://klasma.github.io/Logging_2417/klagomålsmail/A 5772-2020 FSC-klagomål mail.docx", "A 5772-2020")</f>
        <v/>
      </c>
      <c r="X1133">
        <f>HYPERLINK("https://klasma.github.io/Logging_2417/tillsyn/A 5772-2020 tillsynsbegäran.docx", "A 5772-2020")</f>
        <v/>
      </c>
      <c r="Y1133">
        <f>HYPERLINK("https://klasma.github.io/Logging_2417/tillsynsmail/A 5772-2020 tillsynsbegäran mail.docx", "A 5772-2020")</f>
        <v/>
      </c>
      <c r="Z1133">
        <f>HYPERLINK("https://klasma.github.io/Logging_2417/fåglar/A 5772-2020 prioriterade fågelarter.docx", "A 5772-2020")</f>
        <v/>
      </c>
    </row>
    <row r="1134" ht="15" customHeight="1">
      <c r="A1134" t="inlineStr">
        <is>
          <t>A 7842-2020</t>
        </is>
      </c>
      <c r="B1134" s="1" t="n">
        <v>43873</v>
      </c>
      <c r="C1134" s="1" t="n">
        <v>45788</v>
      </c>
      <c r="D1134" t="inlineStr">
        <is>
          <t>VÄSTERBOTTENS LÄN</t>
        </is>
      </c>
      <c r="E1134" t="inlineStr">
        <is>
          <t>VÄNNÄS</t>
        </is>
      </c>
      <c r="G1134" t="n">
        <v>3</v>
      </c>
      <c r="H1134" t="n">
        <v>0</v>
      </c>
      <c r="I1134" t="n">
        <v>0</v>
      </c>
      <c r="J1134" t="n">
        <v>1</v>
      </c>
      <c r="K1134" t="n">
        <v>0</v>
      </c>
      <c r="L1134" t="n">
        <v>0</v>
      </c>
      <c r="M1134" t="n">
        <v>0</v>
      </c>
      <c r="N1134" t="n">
        <v>0</v>
      </c>
      <c r="O1134" t="n">
        <v>1</v>
      </c>
      <c r="P1134" t="n">
        <v>0</v>
      </c>
      <c r="Q1134" t="n">
        <v>1</v>
      </c>
      <c r="R1134" s="2" t="inlineStr">
        <is>
          <t>Garnlav</t>
        </is>
      </c>
      <c r="S1134">
        <f>HYPERLINK("https://klasma.github.io/Logging_2460/artfynd/A 7842-2020 artfynd.xlsx", "A 7842-2020")</f>
        <v/>
      </c>
      <c r="T1134">
        <f>HYPERLINK("https://klasma.github.io/Logging_2460/kartor/A 7842-2020 karta.png", "A 7842-2020")</f>
        <v/>
      </c>
      <c r="V1134">
        <f>HYPERLINK("https://klasma.github.io/Logging_2460/klagomål/A 7842-2020 FSC-klagomål.docx", "A 7842-2020")</f>
        <v/>
      </c>
      <c r="W1134">
        <f>HYPERLINK("https://klasma.github.io/Logging_2460/klagomålsmail/A 7842-2020 FSC-klagomål mail.docx", "A 7842-2020")</f>
        <v/>
      </c>
      <c r="X1134">
        <f>HYPERLINK("https://klasma.github.io/Logging_2460/tillsyn/A 7842-2020 tillsynsbegäran.docx", "A 7842-2020")</f>
        <v/>
      </c>
      <c r="Y1134">
        <f>HYPERLINK("https://klasma.github.io/Logging_2460/tillsynsmail/A 7842-2020 tillsynsbegäran mail.docx", "A 7842-2020")</f>
        <v/>
      </c>
    </row>
    <row r="1135" ht="15" customHeight="1">
      <c r="A1135" t="inlineStr">
        <is>
          <t>A 11922-2020</t>
        </is>
      </c>
      <c r="B1135" s="1" t="n">
        <v>43888</v>
      </c>
      <c r="C1135" s="1" t="n">
        <v>45788</v>
      </c>
      <c r="D1135" t="inlineStr">
        <is>
          <t>VÄSTERBOTTENS LÄN</t>
        </is>
      </c>
      <c r="E1135" t="inlineStr">
        <is>
          <t>ÅSELE</t>
        </is>
      </c>
      <c r="F1135" t="inlineStr">
        <is>
          <t>Övriga Aktiebolag</t>
        </is>
      </c>
      <c r="G1135" t="n">
        <v>3.2</v>
      </c>
      <c r="H1135" t="n">
        <v>0</v>
      </c>
      <c r="I1135" t="n">
        <v>0</v>
      </c>
      <c r="J1135" t="n">
        <v>1</v>
      </c>
      <c r="K1135" t="n">
        <v>0</v>
      </c>
      <c r="L1135" t="n">
        <v>0</v>
      </c>
      <c r="M1135" t="n">
        <v>0</v>
      </c>
      <c r="N1135" t="n">
        <v>0</v>
      </c>
      <c r="O1135" t="n">
        <v>1</v>
      </c>
      <c r="P1135" t="n">
        <v>0</v>
      </c>
      <c r="Q1135" t="n">
        <v>1</v>
      </c>
      <c r="R1135" s="2" t="inlineStr">
        <is>
          <t>Ullticka</t>
        </is>
      </c>
      <c r="S1135">
        <f>HYPERLINK("https://klasma.github.io/Logging_2463/artfynd/A 11922-2020 artfynd.xlsx", "A 11922-2020")</f>
        <v/>
      </c>
      <c r="T1135">
        <f>HYPERLINK("https://klasma.github.io/Logging_2463/kartor/A 11922-2020 karta.png", "A 11922-2020")</f>
        <v/>
      </c>
      <c r="V1135">
        <f>HYPERLINK("https://klasma.github.io/Logging_2463/klagomål/A 11922-2020 FSC-klagomål.docx", "A 11922-2020")</f>
        <v/>
      </c>
      <c r="W1135">
        <f>HYPERLINK("https://klasma.github.io/Logging_2463/klagomålsmail/A 11922-2020 FSC-klagomål mail.docx", "A 11922-2020")</f>
        <v/>
      </c>
      <c r="X1135">
        <f>HYPERLINK("https://klasma.github.io/Logging_2463/tillsyn/A 11922-2020 tillsynsbegäran.docx", "A 11922-2020")</f>
        <v/>
      </c>
      <c r="Y1135">
        <f>HYPERLINK("https://klasma.github.io/Logging_2463/tillsynsmail/A 11922-2020 tillsynsbegäran mail.docx", "A 11922-2020")</f>
        <v/>
      </c>
    </row>
    <row r="1136" ht="15" customHeight="1">
      <c r="A1136" t="inlineStr">
        <is>
          <t>A 13243-2020</t>
        </is>
      </c>
      <c r="B1136" s="1" t="n">
        <v>43901</v>
      </c>
      <c r="C1136" s="1" t="n">
        <v>45788</v>
      </c>
      <c r="D1136" t="inlineStr">
        <is>
          <t>VÄSTERBOTTENS LÄN</t>
        </is>
      </c>
      <c r="E1136" t="inlineStr">
        <is>
          <t>VÄNNÄS</t>
        </is>
      </c>
      <c r="G1136" t="n">
        <v>7.5</v>
      </c>
      <c r="H1136" t="n">
        <v>0</v>
      </c>
      <c r="I1136" t="n">
        <v>0</v>
      </c>
      <c r="J1136" t="n">
        <v>1</v>
      </c>
      <c r="K1136" t="n">
        <v>0</v>
      </c>
      <c r="L1136" t="n">
        <v>0</v>
      </c>
      <c r="M1136" t="n">
        <v>0</v>
      </c>
      <c r="N1136" t="n">
        <v>0</v>
      </c>
      <c r="O1136" t="n">
        <v>1</v>
      </c>
      <c r="P1136" t="n">
        <v>0</v>
      </c>
      <c r="Q1136" t="n">
        <v>1</v>
      </c>
      <c r="R1136" s="2" t="inlineStr">
        <is>
          <t>Ullticka</t>
        </is>
      </c>
      <c r="S1136">
        <f>HYPERLINK("https://klasma.github.io/Logging_2460/artfynd/A 13243-2020 artfynd.xlsx", "A 13243-2020")</f>
        <v/>
      </c>
      <c r="T1136">
        <f>HYPERLINK("https://klasma.github.io/Logging_2460/kartor/A 13243-2020 karta.png", "A 13243-2020")</f>
        <v/>
      </c>
      <c r="V1136">
        <f>HYPERLINK("https://klasma.github.io/Logging_2460/klagomål/A 13243-2020 FSC-klagomål.docx", "A 13243-2020")</f>
        <v/>
      </c>
      <c r="W1136">
        <f>HYPERLINK("https://klasma.github.io/Logging_2460/klagomålsmail/A 13243-2020 FSC-klagomål mail.docx", "A 13243-2020")</f>
        <v/>
      </c>
      <c r="X1136">
        <f>HYPERLINK("https://klasma.github.io/Logging_2460/tillsyn/A 13243-2020 tillsynsbegäran.docx", "A 13243-2020")</f>
        <v/>
      </c>
      <c r="Y1136">
        <f>HYPERLINK("https://klasma.github.io/Logging_2460/tillsynsmail/A 13243-2020 tillsynsbegäran mail.docx", "A 13243-2020")</f>
        <v/>
      </c>
    </row>
    <row r="1137" ht="15" customHeight="1">
      <c r="A1137" t="inlineStr">
        <is>
          <t>A 19592-2020</t>
        </is>
      </c>
      <c r="B1137" s="1" t="n">
        <v>43936</v>
      </c>
      <c r="C1137" s="1" t="n">
        <v>45788</v>
      </c>
      <c r="D1137" t="inlineStr">
        <is>
          <t>VÄSTERBOTTENS LÄN</t>
        </is>
      </c>
      <c r="E1137" t="inlineStr">
        <is>
          <t>ÅSELE</t>
        </is>
      </c>
      <c r="G1137" t="n">
        <v>4.5</v>
      </c>
      <c r="H1137" t="n">
        <v>0</v>
      </c>
      <c r="I1137" t="n">
        <v>1</v>
      </c>
      <c r="J1137" t="n">
        <v>0</v>
      </c>
      <c r="K1137" t="n">
        <v>0</v>
      </c>
      <c r="L1137" t="n">
        <v>0</v>
      </c>
      <c r="M1137" t="n">
        <v>0</v>
      </c>
      <c r="N1137" t="n">
        <v>0</v>
      </c>
      <c r="O1137" t="n">
        <v>0</v>
      </c>
      <c r="P1137" t="n">
        <v>0</v>
      </c>
      <c r="Q1137" t="n">
        <v>1</v>
      </c>
      <c r="R1137" s="2" t="inlineStr">
        <is>
          <t>Bronshjon</t>
        </is>
      </c>
      <c r="S1137">
        <f>HYPERLINK("https://klasma.github.io/Logging_2463/artfynd/A 19592-2020 artfynd.xlsx", "A 19592-2020")</f>
        <v/>
      </c>
      <c r="T1137">
        <f>HYPERLINK("https://klasma.github.io/Logging_2463/kartor/A 19592-2020 karta.png", "A 19592-2020")</f>
        <v/>
      </c>
      <c r="V1137">
        <f>HYPERLINK("https://klasma.github.io/Logging_2463/klagomål/A 19592-2020 FSC-klagomål.docx", "A 19592-2020")</f>
        <v/>
      </c>
      <c r="W1137">
        <f>HYPERLINK("https://klasma.github.io/Logging_2463/klagomålsmail/A 19592-2020 FSC-klagomål mail.docx", "A 19592-2020")</f>
        <v/>
      </c>
      <c r="X1137">
        <f>HYPERLINK("https://klasma.github.io/Logging_2463/tillsyn/A 19592-2020 tillsynsbegäran.docx", "A 19592-2020")</f>
        <v/>
      </c>
      <c r="Y1137">
        <f>HYPERLINK("https://klasma.github.io/Logging_2463/tillsynsmail/A 19592-2020 tillsynsbegäran mail.docx", "A 19592-2020")</f>
        <v/>
      </c>
    </row>
    <row r="1138" ht="15" customHeight="1">
      <c r="A1138" t="inlineStr">
        <is>
          <t>A 19295-2020</t>
        </is>
      </c>
      <c r="B1138" s="1" t="n">
        <v>43937</v>
      </c>
      <c r="C1138" s="1" t="n">
        <v>45788</v>
      </c>
      <c r="D1138" t="inlineStr">
        <is>
          <t>VÄSTERBOTTENS LÄN</t>
        </is>
      </c>
      <c r="E1138" t="inlineStr">
        <is>
          <t>BJURHOLM</t>
        </is>
      </c>
      <c r="G1138" t="n">
        <v>2.9</v>
      </c>
      <c r="H1138" t="n">
        <v>0</v>
      </c>
      <c r="I1138" t="n">
        <v>0</v>
      </c>
      <c r="J1138" t="n">
        <v>1</v>
      </c>
      <c r="K1138" t="n">
        <v>0</v>
      </c>
      <c r="L1138" t="n">
        <v>0</v>
      </c>
      <c r="M1138" t="n">
        <v>0</v>
      </c>
      <c r="N1138" t="n">
        <v>0</v>
      </c>
      <c r="O1138" t="n">
        <v>1</v>
      </c>
      <c r="P1138" t="n">
        <v>0</v>
      </c>
      <c r="Q1138" t="n">
        <v>1</v>
      </c>
      <c r="R1138" s="2" t="inlineStr">
        <is>
          <t>Ullticka</t>
        </is>
      </c>
      <c r="S1138">
        <f>HYPERLINK("https://klasma.github.io/Logging_2403/artfynd/A 19295-2020 artfynd.xlsx", "A 19295-2020")</f>
        <v/>
      </c>
      <c r="T1138">
        <f>HYPERLINK("https://klasma.github.io/Logging_2403/kartor/A 19295-2020 karta.png", "A 19295-2020")</f>
        <v/>
      </c>
      <c r="V1138">
        <f>HYPERLINK("https://klasma.github.io/Logging_2403/klagomål/A 19295-2020 FSC-klagomål.docx", "A 19295-2020")</f>
        <v/>
      </c>
      <c r="W1138">
        <f>HYPERLINK("https://klasma.github.io/Logging_2403/klagomålsmail/A 19295-2020 FSC-klagomål mail.docx", "A 19295-2020")</f>
        <v/>
      </c>
      <c r="X1138">
        <f>HYPERLINK("https://klasma.github.io/Logging_2403/tillsyn/A 19295-2020 tillsynsbegäran.docx", "A 19295-2020")</f>
        <v/>
      </c>
      <c r="Y1138">
        <f>HYPERLINK("https://klasma.github.io/Logging_2403/tillsynsmail/A 19295-2020 tillsynsbegäran mail.docx", "A 19295-2020")</f>
        <v/>
      </c>
    </row>
    <row r="1139" ht="15" customHeight="1">
      <c r="A1139" t="inlineStr">
        <is>
          <t>A 19687-2020</t>
        </is>
      </c>
      <c r="B1139" s="1" t="n">
        <v>43941</v>
      </c>
      <c r="C1139" s="1" t="n">
        <v>45788</v>
      </c>
      <c r="D1139" t="inlineStr">
        <is>
          <t>VÄSTERBOTTENS LÄN</t>
        </is>
      </c>
      <c r="E1139" t="inlineStr">
        <is>
          <t>VÄNNÄS</t>
        </is>
      </c>
      <c r="G1139" t="n">
        <v>5.8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HYPERLINK("https://klasma.github.io/Logging_2460/artfynd/A 19687-2020 artfynd.xlsx", "A 19687-2020")</f>
        <v/>
      </c>
      <c r="T1139">
        <f>HYPERLINK("https://klasma.github.io/Logging_2460/kartor/A 19687-2020 karta.png", "A 19687-2020")</f>
        <v/>
      </c>
      <c r="V1139">
        <f>HYPERLINK("https://klasma.github.io/Logging_2460/klagomål/A 19687-2020 FSC-klagomål.docx", "A 19687-2020")</f>
        <v/>
      </c>
      <c r="W1139">
        <f>HYPERLINK("https://klasma.github.io/Logging_2460/klagomålsmail/A 19687-2020 FSC-klagomål mail.docx", "A 19687-2020")</f>
        <v/>
      </c>
      <c r="X1139">
        <f>HYPERLINK("https://klasma.github.io/Logging_2460/tillsyn/A 19687-2020 tillsynsbegäran.docx", "A 19687-2020")</f>
        <v/>
      </c>
      <c r="Y1139">
        <f>HYPERLINK("https://klasma.github.io/Logging_2460/tillsynsmail/A 19687-2020 tillsynsbegäran mail.docx", "A 19687-2020")</f>
        <v/>
      </c>
      <c r="Z1139">
        <f>HYPERLINK("https://klasma.github.io/Logging_2460/fåglar/A 19687-2020 prioriterade fågelarter.docx", "A 19687-2020")</f>
        <v/>
      </c>
    </row>
    <row r="1140" ht="15" customHeight="1">
      <c r="A1140" t="inlineStr">
        <is>
          <t>A 23492-2020</t>
        </is>
      </c>
      <c r="B1140" s="1" t="n">
        <v>43966</v>
      </c>
      <c r="C1140" s="1" t="n">
        <v>45788</v>
      </c>
      <c r="D1140" t="inlineStr">
        <is>
          <t>VÄSTERBOTTENS LÄN</t>
        </is>
      </c>
      <c r="E1140" t="inlineStr">
        <is>
          <t>UMEÅ</t>
        </is>
      </c>
      <c r="G1140" t="n">
        <v>3</v>
      </c>
      <c r="H1140" t="n">
        <v>1</v>
      </c>
      <c r="I1140" t="n">
        <v>0</v>
      </c>
      <c r="J1140" t="n">
        <v>0</v>
      </c>
      <c r="K1140" t="n">
        <v>0</v>
      </c>
      <c r="L1140" t="n">
        <v>0</v>
      </c>
      <c r="M1140" t="n">
        <v>0</v>
      </c>
      <c r="N1140" t="n">
        <v>0</v>
      </c>
      <c r="O1140" t="n">
        <v>0</v>
      </c>
      <c r="P1140" t="n">
        <v>0</v>
      </c>
      <c r="Q1140" t="n">
        <v>1</v>
      </c>
      <c r="R1140" s="2" t="inlineStr">
        <is>
          <t>Vanlig padda</t>
        </is>
      </c>
      <c r="S1140">
        <f>HYPERLINK("https://klasma.github.io/Logging_2480/artfynd/A 23492-2020 artfynd.xlsx", "A 23492-2020")</f>
        <v/>
      </c>
      <c r="T1140">
        <f>HYPERLINK("https://klasma.github.io/Logging_2480/kartor/A 23492-2020 karta.png", "A 23492-2020")</f>
        <v/>
      </c>
      <c r="V1140">
        <f>HYPERLINK("https://klasma.github.io/Logging_2480/klagomål/A 23492-2020 FSC-klagomål.docx", "A 23492-2020")</f>
        <v/>
      </c>
      <c r="W1140">
        <f>HYPERLINK("https://klasma.github.io/Logging_2480/klagomålsmail/A 23492-2020 FSC-klagomål mail.docx", "A 23492-2020")</f>
        <v/>
      </c>
      <c r="X1140">
        <f>HYPERLINK("https://klasma.github.io/Logging_2480/tillsyn/A 23492-2020 tillsynsbegäran.docx", "A 23492-2020")</f>
        <v/>
      </c>
      <c r="Y1140">
        <f>HYPERLINK("https://klasma.github.io/Logging_2480/tillsynsmail/A 23492-2020 tillsynsbegäran mail.docx", "A 23492-2020")</f>
        <v/>
      </c>
    </row>
    <row r="1141" ht="15" customHeight="1">
      <c r="A1141" t="inlineStr">
        <is>
          <t>A 28098-2020</t>
        </is>
      </c>
      <c r="B1141" s="1" t="n">
        <v>43997</v>
      </c>
      <c r="C1141" s="1" t="n">
        <v>45788</v>
      </c>
      <c r="D1141" t="inlineStr">
        <is>
          <t>VÄSTERBOTTENS LÄN</t>
        </is>
      </c>
      <c r="E1141" t="inlineStr">
        <is>
          <t>LYCKSELE</t>
        </is>
      </c>
      <c r="F1141" t="inlineStr">
        <is>
          <t>Kyrkan</t>
        </is>
      </c>
      <c r="G1141" t="n">
        <v>6.4</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HYPERLINK("https://klasma.github.io/Logging_2481/artfynd/A 28098-2020 artfynd.xlsx", "A 28098-2020")</f>
        <v/>
      </c>
      <c r="T1141">
        <f>HYPERLINK("https://klasma.github.io/Logging_2481/kartor/A 28098-2020 karta.png", "A 28098-2020")</f>
        <v/>
      </c>
      <c r="V1141">
        <f>HYPERLINK("https://klasma.github.io/Logging_2481/klagomål/A 28098-2020 FSC-klagomål.docx", "A 28098-2020")</f>
        <v/>
      </c>
      <c r="W1141">
        <f>HYPERLINK("https://klasma.github.io/Logging_2481/klagomålsmail/A 28098-2020 FSC-klagomål mail.docx", "A 28098-2020")</f>
        <v/>
      </c>
      <c r="X1141">
        <f>HYPERLINK("https://klasma.github.io/Logging_2481/tillsyn/A 28098-2020 tillsynsbegäran.docx", "A 28098-2020")</f>
        <v/>
      </c>
      <c r="Y1141">
        <f>HYPERLINK("https://klasma.github.io/Logging_2481/tillsynsmail/A 28098-2020 tillsynsbegäran mail.docx", "A 28098-2020")</f>
        <v/>
      </c>
    </row>
    <row r="1142" ht="15" customHeight="1">
      <c r="A1142" t="inlineStr">
        <is>
          <t>A 33236-2020</t>
        </is>
      </c>
      <c r="B1142" s="1" t="n">
        <v>44022</v>
      </c>
      <c r="C1142" s="1" t="n">
        <v>45788</v>
      </c>
      <c r="D1142" t="inlineStr">
        <is>
          <t>VÄSTERBOTTENS LÄN</t>
        </is>
      </c>
      <c r="E1142" t="inlineStr">
        <is>
          <t>ROBERTSFORS</t>
        </is>
      </c>
      <c r="F1142" t="inlineStr">
        <is>
          <t>Holmen skog AB</t>
        </is>
      </c>
      <c r="G1142" t="n">
        <v>8.800000000000001</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33236-2020 artfynd.xlsx", "A 33236-2020")</f>
        <v/>
      </c>
      <c r="T1142">
        <f>HYPERLINK("https://klasma.github.io/Logging_2409/kartor/A 33236-2020 karta.png", "A 33236-2020")</f>
        <v/>
      </c>
      <c r="V1142">
        <f>HYPERLINK("https://klasma.github.io/Logging_2409/klagomål/A 33236-2020 FSC-klagomål.docx", "A 33236-2020")</f>
        <v/>
      </c>
      <c r="W1142">
        <f>HYPERLINK("https://klasma.github.io/Logging_2409/klagomålsmail/A 33236-2020 FSC-klagomål mail.docx", "A 33236-2020")</f>
        <v/>
      </c>
      <c r="X1142">
        <f>HYPERLINK("https://klasma.github.io/Logging_2409/tillsyn/A 33236-2020 tillsynsbegäran.docx", "A 33236-2020")</f>
        <v/>
      </c>
      <c r="Y1142">
        <f>HYPERLINK("https://klasma.github.io/Logging_2409/tillsynsmail/A 33236-2020 tillsynsbegäran mail.docx", "A 33236-2020")</f>
        <v/>
      </c>
    </row>
    <row r="1143" ht="15" customHeight="1">
      <c r="A1143" t="inlineStr">
        <is>
          <t>A 40662-2020</t>
        </is>
      </c>
      <c r="B1143" s="1" t="n">
        <v>44069</v>
      </c>
      <c r="C1143" s="1" t="n">
        <v>45788</v>
      </c>
      <c r="D1143" t="inlineStr">
        <is>
          <t>VÄSTERBOTTENS LÄN</t>
        </is>
      </c>
      <c r="E1143" t="inlineStr">
        <is>
          <t>STORUMAN</t>
        </is>
      </c>
      <c r="G1143" t="n">
        <v>1.7</v>
      </c>
      <c r="H1143" t="n">
        <v>1</v>
      </c>
      <c r="I1143" t="n">
        <v>0</v>
      </c>
      <c r="J1143" t="n">
        <v>0</v>
      </c>
      <c r="K1143" t="n">
        <v>0</v>
      </c>
      <c r="L1143" t="n">
        <v>0</v>
      </c>
      <c r="M1143" t="n">
        <v>0</v>
      </c>
      <c r="N1143" t="n">
        <v>0</v>
      </c>
      <c r="O1143" t="n">
        <v>0</v>
      </c>
      <c r="P1143" t="n">
        <v>0</v>
      </c>
      <c r="Q1143" t="n">
        <v>1</v>
      </c>
      <c r="R1143" s="2" t="inlineStr">
        <is>
          <t>Lavskrika</t>
        </is>
      </c>
      <c r="S1143">
        <f>HYPERLINK("https://klasma.github.io/Logging_2421/artfynd/A 40662-2020 artfynd.xlsx", "A 40662-2020")</f>
        <v/>
      </c>
      <c r="T1143">
        <f>HYPERLINK("https://klasma.github.io/Logging_2421/kartor/A 40662-2020 karta.png", "A 40662-2020")</f>
        <v/>
      </c>
      <c r="V1143">
        <f>HYPERLINK("https://klasma.github.io/Logging_2421/klagomål/A 40662-2020 FSC-klagomål.docx", "A 40662-2020")</f>
        <v/>
      </c>
      <c r="W1143">
        <f>HYPERLINK("https://klasma.github.io/Logging_2421/klagomålsmail/A 40662-2020 FSC-klagomål mail.docx", "A 40662-2020")</f>
        <v/>
      </c>
      <c r="X1143">
        <f>HYPERLINK("https://klasma.github.io/Logging_2421/tillsyn/A 40662-2020 tillsynsbegäran.docx", "A 40662-2020")</f>
        <v/>
      </c>
      <c r="Y1143">
        <f>HYPERLINK("https://klasma.github.io/Logging_2421/tillsynsmail/A 40662-2020 tillsynsbegäran mail.docx", "A 40662-2020")</f>
        <v/>
      </c>
      <c r="Z1143">
        <f>HYPERLINK("https://klasma.github.io/Logging_2421/fåglar/A 40662-2020 prioriterade fågelarter.docx", "A 40662-2020")</f>
        <v/>
      </c>
    </row>
    <row r="1144" ht="15" customHeight="1">
      <c r="A1144" t="inlineStr">
        <is>
          <t>A 43180-2020</t>
        </is>
      </c>
      <c r="B1144" s="1" t="n">
        <v>44076</v>
      </c>
      <c r="C1144" s="1" t="n">
        <v>45788</v>
      </c>
      <c r="D1144" t="inlineStr">
        <is>
          <t>VÄSTERBOTTENS LÄN</t>
        </is>
      </c>
      <c r="E1144" t="inlineStr">
        <is>
          <t>SKELLEFTEÅ</t>
        </is>
      </c>
      <c r="G1144" t="n">
        <v>0.6</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43180-2020 artfynd.xlsx", "A 43180-2020")</f>
        <v/>
      </c>
      <c r="T1144">
        <f>HYPERLINK("https://klasma.github.io/Logging_2482/kartor/A 43180-2020 karta.png", "A 43180-2020")</f>
        <v/>
      </c>
      <c r="V1144">
        <f>HYPERLINK("https://klasma.github.io/Logging_2482/klagomål/A 43180-2020 FSC-klagomål.docx", "A 43180-2020")</f>
        <v/>
      </c>
      <c r="W1144">
        <f>HYPERLINK("https://klasma.github.io/Logging_2482/klagomålsmail/A 43180-2020 FSC-klagomål mail.docx", "A 43180-2020")</f>
        <v/>
      </c>
      <c r="X1144">
        <f>HYPERLINK("https://klasma.github.io/Logging_2482/tillsyn/A 43180-2020 tillsynsbegäran.docx", "A 43180-2020")</f>
        <v/>
      </c>
      <c r="Y1144">
        <f>HYPERLINK("https://klasma.github.io/Logging_2482/tillsynsmail/A 43180-2020 tillsynsbegäran mail.docx", "A 43180-2020")</f>
        <v/>
      </c>
    </row>
    <row r="1145" ht="15" customHeight="1">
      <c r="A1145" t="inlineStr">
        <is>
          <t>A 42794-2020</t>
        </is>
      </c>
      <c r="B1145" s="1" t="n">
        <v>44078</v>
      </c>
      <c r="C1145" s="1" t="n">
        <v>45788</v>
      </c>
      <c r="D1145" t="inlineStr">
        <is>
          <t>VÄSTERBOTTENS LÄN</t>
        </is>
      </c>
      <c r="E1145" t="inlineStr">
        <is>
          <t>SKELLEFTEÅ</t>
        </is>
      </c>
      <c r="F1145" t="inlineStr">
        <is>
          <t>Kommuner</t>
        </is>
      </c>
      <c r="G1145" t="n">
        <v>3.4</v>
      </c>
      <c r="H1145" t="n">
        <v>0</v>
      </c>
      <c r="I1145" t="n">
        <v>0</v>
      </c>
      <c r="J1145" t="n">
        <v>1</v>
      </c>
      <c r="K1145" t="n">
        <v>0</v>
      </c>
      <c r="L1145" t="n">
        <v>0</v>
      </c>
      <c r="M1145" t="n">
        <v>0</v>
      </c>
      <c r="N1145" t="n">
        <v>0</v>
      </c>
      <c r="O1145" t="n">
        <v>1</v>
      </c>
      <c r="P1145" t="n">
        <v>0</v>
      </c>
      <c r="Q1145" t="n">
        <v>1</v>
      </c>
      <c r="R1145" s="2" t="inlineStr">
        <is>
          <t>Motaggsvamp</t>
        </is>
      </c>
      <c r="S1145">
        <f>HYPERLINK("https://klasma.github.io/Logging_2482/artfynd/A 42794-2020 artfynd.xlsx", "A 42794-2020")</f>
        <v/>
      </c>
      <c r="T1145">
        <f>HYPERLINK("https://klasma.github.io/Logging_2482/kartor/A 42794-2020 karta.png", "A 42794-2020")</f>
        <v/>
      </c>
      <c r="V1145">
        <f>HYPERLINK("https://klasma.github.io/Logging_2482/klagomål/A 42794-2020 FSC-klagomål.docx", "A 42794-2020")</f>
        <v/>
      </c>
      <c r="W1145">
        <f>HYPERLINK("https://klasma.github.io/Logging_2482/klagomålsmail/A 42794-2020 FSC-klagomål mail.docx", "A 42794-2020")</f>
        <v/>
      </c>
      <c r="X1145">
        <f>HYPERLINK("https://klasma.github.io/Logging_2482/tillsyn/A 42794-2020 tillsynsbegäran.docx", "A 42794-2020")</f>
        <v/>
      </c>
      <c r="Y1145">
        <f>HYPERLINK("https://klasma.github.io/Logging_2482/tillsynsmail/A 42794-2020 tillsynsbegäran mail.docx", "A 42794-2020")</f>
        <v/>
      </c>
    </row>
    <row r="1146" ht="15" customHeight="1">
      <c r="A1146" t="inlineStr">
        <is>
          <t>A 43297-2020</t>
        </is>
      </c>
      <c r="B1146" s="1" t="n">
        <v>44081</v>
      </c>
      <c r="C1146" s="1" t="n">
        <v>45788</v>
      </c>
      <c r="D1146" t="inlineStr">
        <is>
          <t>VÄSTERBOTTENS LÄN</t>
        </is>
      </c>
      <c r="E1146" t="inlineStr">
        <is>
          <t>SKELLEFTEÅ</t>
        </is>
      </c>
      <c r="F1146" t="inlineStr">
        <is>
          <t>Sveaskog</t>
        </is>
      </c>
      <c r="G1146" t="n">
        <v>6</v>
      </c>
      <c r="H1146" t="n">
        <v>0</v>
      </c>
      <c r="I1146" t="n">
        <v>1</v>
      </c>
      <c r="J1146" t="n">
        <v>0</v>
      </c>
      <c r="K1146" t="n">
        <v>0</v>
      </c>
      <c r="L1146" t="n">
        <v>0</v>
      </c>
      <c r="M1146" t="n">
        <v>0</v>
      </c>
      <c r="N1146" t="n">
        <v>0</v>
      </c>
      <c r="O1146" t="n">
        <v>0</v>
      </c>
      <c r="P1146" t="n">
        <v>0</v>
      </c>
      <c r="Q1146" t="n">
        <v>1</v>
      </c>
      <c r="R1146" s="2" t="inlineStr">
        <is>
          <t>Vedticka</t>
        </is>
      </c>
      <c r="S1146">
        <f>HYPERLINK("https://klasma.github.io/Logging_2482/artfynd/A 43297-2020 artfynd.xlsx", "A 43297-2020")</f>
        <v/>
      </c>
      <c r="T1146">
        <f>HYPERLINK("https://klasma.github.io/Logging_2482/kartor/A 43297-2020 karta.png", "A 43297-2020")</f>
        <v/>
      </c>
      <c r="V1146">
        <f>HYPERLINK("https://klasma.github.io/Logging_2482/klagomål/A 43297-2020 FSC-klagomål.docx", "A 43297-2020")</f>
        <v/>
      </c>
      <c r="W1146">
        <f>HYPERLINK("https://klasma.github.io/Logging_2482/klagomålsmail/A 43297-2020 FSC-klagomål mail.docx", "A 43297-2020")</f>
        <v/>
      </c>
      <c r="X1146">
        <f>HYPERLINK("https://klasma.github.io/Logging_2482/tillsyn/A 43297-2020 tillsynsbegäran.docx", "A 43297-2020")</f>
        <v/>
      </c>
      <c r="Y1146">
        <f>HYPERLINK("https://klasma.github.io/Logging_2482/tillsynsmail/A 43297-2020 tillsynsbegäran mail.docx", "A 43297-2020")</f>
        <v/>
      </c>
    </row>
    <row r="1147" ht="15" customHeight="1">
      <c r="A1147" t="inlineStr">
        <is>
          <t>A 43303-2020</t>
        </is>
      </c>
      <c r="B1147" s="1" t="n">
        <v>44081</v>
      </c>
      <c r="C1147" s="1" t="n">
        <v>45788</v>
      </c>
      <c r="D1147" t="inlineStr">
        <is>
          <t>VÄSTERBOTTENS LÄN</t>
        </is>
      </c>
      <c r="E1147" t="inlineStr">
        <is>
          <t>SKELLEFTEÅ</t>
        </is>
      </c>
      <c r="F1147" t="inlineStr">
        <is>
          <t>Sveaskog</t>
        </is>
      </c>
      <c r="G1147" t="n">
        <v>2.8</v>
      </c>
      <c r="H1147" t="n">
        <v>0</v>
      </c>
      <c r="I1147" t="n">
        <v>1</v>
      </c>
      <c r="J1147" t="n">
        <v>0</v>
      </c>
      <c r="K1147" t="n">
        <v>0</v>
      </c>
      <c r="L1147" t="n">
        <v>0</v>
      </c>
      <c r="M1147" t="n">
        <v>0</v>
      </c>
      <c r="N1147" t="n">
        <v>0</v>
      </c>
      <c r="O1147" t="n">
        <v>0</v>
      </c>
      <c r="P1147" t="n">
        <v>0</v>
      </c>
      <c r="Q1147" t="n">
        <v>1</v>
      </c>
      <c r="R1147" s="2" t="inlineStr">
        <is>
          <t>Stuplav</t>
        </is>
      </c>
      <c r="S1147">
        <f>HYPERLINK("https://klasma.github.io/Logging_2482/artfynd/A 43303-2020 artfynd.xlsx", "A 43303-2020")</f>
        <v/>
      </c>
      <c r="T1147">
        <f>HYPERLINK("https://klasma.github.io/Logging_2482/kartor/A 43303-2020 karta.png", "A 43303-2020")</f>
        <v/>
      </c>
      <c r="V1147">
        <f>HYPERLINK("https://klasma.github.io/Logging_2482/klagomål/A 43303-2020 FSC-klagomål.docx", "A 43303-2020")</f>
        <v/>
      </c>
      <c r="W1147">
        <f>HYPERLINK("https://klasma.github.io/Logging_2482/klagomålsmail/A 43303-2020 FSC-klagomål mail.docx", "A 43303-2020")</f>
        <v/>
      </c>
      <c r="X1147">
        <f>HYPERLINK("https://klasma.github.io/Logging_2482/tillsyn/A 43303-2020 tillsynsbegäran.docx", "A 43303-2020")</f>
        <v/>
      </c>
      <c r="Y1147">
        <f>HYPERLINK("https://klasma.github.io/Logging_2482/tillsynsmail/A 43303-2020 tillsynsbegäran mail.docx", "A 43303-2020")</f>
        <v/>
      </c>
    </row>
    <row r="1148" ht="15" customHeight="1">
      <c r="A1148" t="inlineStr">
        <is>
          <t>A 43813-2020</t>
        </is>
      </c>
      <c r="B1148" s="1" t="n">
        <v>44082</v>
      </c>
      <c r="C1148" s="1" t="n">
        <v>45788</v>
      </c>
      <c r="D1148" t="inlineStr">
        <is>
          <t>VÄSTERBOTTENS LÄN</t>
        </is>
      </c>
      <c r="E1148" t="inlineStr">
        <is>
          <t>ÅSELE</t>
        </is>
      </c>
      <c r="F1148" t="inlineStr">
        <is>
          <t>Sveaskog</t>
        </is>
      </c>
      <c r="G1148" t="n">
        <v>14.2</v>
      </c>
      <c r="H1148" t="n">
        <v>1</v>
      </c>
      <c r="I1148" t="n">
        <v>0</v>
      </c>
      <c r="J1148" t="n">
        <v>1</v>
      </c>
      <c r="K1148" t="n">
        <v>0</v>
      </c>
      <c r="L1148" t="n">
        <v>0</v>
      </c>
      <c r="M1148" t="n">
        <v>0</v>
      </c>
      <c r="N1148" t="n">
        <v>0</v>
      </c>
      <c r="O1148" t="n">
        <v>1</v>
      </c>
      <c r="P1148" t="n">
        <v>0</v>
      </c>
      <c r="Q1148" t="n">
        <v>1</v>
      </c>
      <c r="R1148" s="2" t="inlineStr">
        <is>
          <t>Spillkråka</t>
        </is>
      </c>
      <c r="S1148">
        <f>HYPERLINK("https://klasma.github.io/Logging_2463/artfynd/A 43813-2020 artfynd.xlsx", "A 43813-2020")</f>
        <v/>
      </c>
      <c r="T1148">
        <f>HYPERLINK("https://klasma.github.io/Logging_2463/kartor/A 43813-2020 karta.png", "A 43813-2020")</f>
        <v/>
      </c>
      <c r="V1148">
        <f>HYPERLINK("https://klasma.github.io/Logging_2463/klagomål/A 43813-2020 FSC-klagomål.docx", "A 43813-2020")</f>
        <v/>
      </c>
      <c r="W1148">
        <f>HYPERLINK("https://klasma.github.io/Logging_2463/klagomålsmail/A 43813-2020 FSC-klagomål mail.docx", "A 43813-2020")</f>
        <v/>
      </c>
      <c r="X1148">
        <f>HYPERLINK("https://klasma.github.io/Logging_2463/tillsyn/A 43813-2020 tillsynsbegäran.docx", "A 43813-2020")</f>
        <v/>
      </c>
      <c r="Y1148">
        <f>HYPERLINK("https://klasma.github.io/Logging_2463/tillsynsmail/A 43813-2020 tillsynsbegäran mail.docx", "A 43813-2020")</f>
        <v/>
      </c>
      <c r="Z1148">
        <f>HYPERLINK("https://klasma.github.io/Logging_2463/fåglar/A 43813-2020 prioriterade fågelarter.docx", "A 43813-2020")</f>
        <v/>
      </c>
    </row>
    <row r="1149" ht="15" customHeight="1">
      <c r="A1149" t="inlineStr">
        <is>
          <t>A 43843-2020</t>
        </is>
      </c>
      <c r="B1149" s="1" t="n">
        <v>44082</v>
      </c>
      <c r="C1149" s="1" t="n">
        <v>45788</v>
      </c>
      <c r="D1149" t="inlineStr">
        <is>
          <t>VÄSTERBOTTENS LÄN</t>
        </is>
      </c>
      <c r="E1149" t="inlineStr">
        <is>
          <t>NORDMALING</t>
        </is>
      </c>
      <c r="F1149" t="inlineStr">
        <is>
          <t>SCA</t>
        </is>
      </c>
      <c r="G1149" t="n">
        <v>1.6</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HYPERLINK("https://klasma.github.io/Logging_2401/artfynd/A 43843-2020 artfynd.xlsx", "A 43843-2020")</f>
        <v/>
      </c>
      <c r="T1149">
        <f>HYPERLINK("https://klasma.github.io/Logging_2401/kartor/A 43843-2020 karta.png", "A 43843-2020")</f>
        <v/>
      </c>
      <c r="V1149">
        <f>HYPERLINK("https://klasma.github.io/Logging_2401/klagomål/A 43843-2020 FSC-klagomål.docx", "A 43843-2020")</f>
        <v/>
      </c>
      <c r="W1149">
        <f>HYPERLINK("https://klasma.github.io/Logging_2401/klagomålsmail/A 43843-2020 FSC-klagomål mail.docx", "A 43843-2020")</f>
        <v/>
      </c>
      <c r="X1149">
        <f>HYPERLINK("https://klasma.github.io/Logging_2401/tillsyn/A 43843-2020 tillsynsbegäran.docx", "A 43843-2020")</f>
        <v/>
      </c>
      <c r="Y1149">
        <f>HYPERLINK("https://klasma.github.io/Logging_2401/tillsynsmail/A 43843-2020 tillsynsbegäran mail.docx", "A 43843-2020")</f>
        <v/>
      </c>
    </row>
    <row r="1150" ht="15" customHeight="1">
      <c r="A1150" t="inlineStr">
        <is>
          <t>A 43863-2020</t>
        </is>
      </c>
      <c r="B1150" s="1" t="n">
        <v>44082</v>
      </c>
      <c r="C1150" s="1" t="n">
        <v>45788</v>
      </c>
      <c r="D1150" t="inlineStr">
        <is>
          <t>VÄSTERBOTTENS LÄN</t>
        </is>
      </c>
      <c r="E1150" t="inlineStr">
        <is>
          <t>VINDELN</t>
        </is>
      </c>
      <c r="F1150" t="inlineStr">
        <is>
          <t>SCA</t>
        </is>
      </c>
      <c r="G1150" t="n">
        <v>3.9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HYPERLINK("https://klasma.github.io/Logging_2404/artfynd/A 43863-2020 artfynd.xlsx", "A 43863-2020")</f>
        <v/>
      </c>
      <c r="T1150">
        <f>HYPERLINK("https://klasma.github.io/Logging_2404/kartor/A 43863-2020 karta.png", "A 43863-2020")</f>
        <v/>
      </c>
      <c r="V1150">
        <f>HYPERLINK("https://klasma.github.io/Logging_2404/klagomål/A 43863-2020 FSC-klagomål.docx", "A 43863-2020")</f>
        <v/>
      </c>
      <c r="W1150">
        <f>HYPERLINK("https://klasma.github.io/Logging_2404/klagomålsmail/A 43863-2020 FSC-klagomål mail.docx", "A 43863-2020")</f>
        <v/>
      </c>
      <c r="X1150">
        <f>HYPERLINK("https://klasma.github.io/Logging_2404/tillsyn/A 43863-2020 tillsynsbegäran.docx", "A 43863-2020")</f>
        <v/>
      </c>
      <c r="Y1150">
        <f>HYPERLINK("https://klasma.github.io/Logging_2404/tillsynsmail/A 43863-2020 tillsynsbegäran mail.docx", "A 43863-2020")</f>
        <v/>
      </c>
    </row>
    <row r="1151" ht="15" customHeight="1">
      <c r="A1151" t="inlineStr">
        <is>
          <t>A 47013-2020</t>
        </is>
      </c>
      <c r="B1151" s="1" t="n">
        <v>44096</v>
      </c>
      <c r="C1151" s="1" t="n">
        <v>45788</v>
      </c>
      <c r="D1151" t="inlineStr">
        <is>
          <t>VÄSTERBOTTENS LÄN</t>
        </is>
      </c>
      <c r="E1151" t="inlineStr">
        <is>
          <t>VINDELN</t>
        </is>
      </c>
      <c r="G1151" t="n">
        <v>0.6</v>
      </c>
      <c r="H1151" t="n">
        <v>0</v>
      </c>
      <c r="I1151" t="n">
        <v>0</v>
      </c>
      <c r="J1151" t="n">
        <v>1</v>
      </c>
      <c r="K1151" t="n">
        <v>0</v>
      </c>
      <c r="L1151" t="n">
        <v>0</v>
      </c>
      <c r="M1151" t="n">
        <v>0</v>
      </c>
      <c r="N1151" t="n">
        <v>0</v>
      </c>
      <c r="O1151" t="n">
        <v>1</v>
      </c>
      <c r="P1151" t="n">
        <v>0</v>
      </c>
      <c r="Q1151" t="n">
        <v>1</v>
      </c>
      <c r="R1151" s="2" t="inlineStr">
        <is>
          <t>Garnlav</t>
        </is>
      </c>
      <c r="S1151">
        <f>HYPERLINK("https://klasma.github.io/Logging_2404/artfynd/A 47013-2020 artfynd.xlsx", "A 47013-2020")</f>
        <v/>
      </c>
      <c r="T1151">
        <f>HYPERLINK("https://klasma.github.io/Logging_2404/kartor/A 47013-2020 karta.png", "A 47013-2020")</f>
        <v/>
      </c>
      <c r="V1151">
        <f>HYPERLINK("https://klasma.github.io/Logging_2404/klagomål/A 47013-2020 FSC-klagomål.docx", "A 47013-2020")</f>
        <v/>
      </c>
      <c r="W1151">
        <f>HYPERLINK("https://klasma.github.io/Logging_2404/klagomålsmail/A 47013-2020 FSC-klagomål mail.docx", "A 47013-2020")</f>
        <v/>
      </c>
      <c r="X1151">
        <f>HYPERLINK("https://klasma.github.io/Logging_2404/tillsyn/A 47013-2020 tillsynsbegäran.docx", "A 47013-2020")</f>
        <v/>
      </c>
      <c r="Y1151">
        <f>HYPERLINK("https://klasma.github.io/Logging_2404/tillsynsmail/A 47013-2020 tillsynsbegäran mail.docx", "A 47013-2020")</f>
        <v/>
      </c>
    </row>
    <row r="1152" ht="15" customHeight="1">
      <c r="A1152" t="inlineStr">
        <is>
          <t>A 49683-2020</t>
        </is>
      </c>
      <c r="B1152" s="1" t="n">
        <v>44104</v>
      </c>
      <c r="C1152" s="1" t="n">
        <v>45788</v>
      </c>
      <c r="D1152" t="inlineStr">
        <is>
          <t>VÄSTERBOTTENS LÄN</t>
        </is>
      </c>
      <c r="E1152" t="inlineStr">
        <is>
          <t>DOROTEA</t>
        </is>
      </c>
      <c r="F1152" t="inlineStr">
        <is>
          <t>SCA</t>
        </is>
      </c>
      <c r="G1152" t="n">
        <v>1.1</v>
      </c>
      <c r="H1152" t="n">
        <v>0</v>
      </c>
      <c r="I1152" t="n">
        <v>0</v>
      </c>
      <c r="J1152" t="n">
        <v>0</v>
      </c>
      <c r="K1152" t="n">
        <v>1</v>
      </c>
      <c r="L1152" t="n">
        <v>0</v>
      </c>
      <c r="M1152" t="n">
        <v>0</v>
      </c>
      <c r="N1152" t="n">
        <v>0</v>
      </c>
      <c r="O1152" t="n">
        <v>1</v>
      </c>
      <c r="P1152" t="n">
        <v>1</v>
      </c>
      <c r="Q1152" t="n">
        <v>1</v>
      </c>
      <c r="R1152" s="2" t="inlineStr">
        <is>
          <t>Rynkskinn</t>
        </is>
      </c>
      <c r="S1152">
        <f>HYPERLINK("https://klasma.github.io/Logging_2425/artfynd/A 49683-2020 artfynd.xlsx", "A 49683-2020")</f>
        <v/>
      </c>
      <c r="T1152">
        <f>HYPERLINK("https://klasma.github.io/Logging_2425/kartor/A 49683-2020 karta.png", "A 49683-2020")</f>
        <v/>
      </c>
      <c r="V1152">
        <f>HYPERLINK("https://klasma.github.io/Logging_2425/klagomål/A 49683-2020 FSC-klagomål.docx", "A 49683-2020")</f>
        <v/>
      </c>
      <c r="W1152">
        <f>HYPERLINK("https://klasma.github.io/Logging_2425/klagomålsmail/A 49683-2020 FSC-klagomål mail.docx", "A 49683-2020")</f>
        <v/>
      </c>
      <c r="X1152">
        <f>HYPERLINK("https://klasma.github.io/Logging_2425/tillsyn/A 49683-2020 tillsynsbegäran.docx", "A 49683-2020")</f>
        <v/>
      </c>
      <c r="Y1152">
        <f>HYPERLINK("https://klasma.github.io/Logging_2425/tillsynsmail/A 49683-2020 tillsynsbegäran mail.docx", "A 49683-2020")</f>
        <v/>
      </c>
    </row>
    <row r="1153" ht="15" customHeight="1">
      <c r="A1153" t="inlineStr">
        <is>
          <t>A 52538-2020</t>
        </is>
      </c>
      <c r="B1153" s="1" t="n">
        <v>44118</v>
      </c>
      <c r="C1153" s="1" t="n">
        <v>45788</v>
      </c>
      <c r="D1153" t="inlineStr">
        <is>
          <t>VÄSTERBOTTENS LÄN</t>
        </is>
      </c>
      <c r="E1153" t="inlineStr">
        <is>
          <t>VINDELN</t>
        </is>
      </c>
      <c r="F1153" t="inlineStr">
        <is>
          <t>Sveaskog</t>
        </is>
      </c>
      <c r="G1153" t="n">
        <v>22.7</v>
      </c>
      <c r="H1153" t="n">
        <v>0</v>
      </c>
      <c r="I1153" t="n">
        <v>0</v>
      </c>
      <c r="J1153" t="n">
        <v>1</v>
      </c>
      <c r="K1153" t="n">
        <v>0</v>
      </c>
      <c r="L1153" t="n">
        <v>0</v>
      </c>
      <c r="M1153" t="n">
        <v>0</v>
      </c>
      <c r="N1153" t="n">
        <v>0</v>
      </c>
      <c r="O1153" t="n">
        <v>1</v>
      </c>
      <c r="P1153" t="n">
        <v>0</v>
      </c>
      <c r="Q1153" t="n">
        <v>1</v>
      </c>
      <c r="R1153" s="2" t="inlineStr">
        <is>
          <t>Motaggsvamp</t>
        </is>
      </c>
      <c r="S1153">
        <f>HYPERLINK("https://klasma.github.io/Logging_2404/artfynd/A 52538-2020 artfynd.xlsx", "A 52538-2020")</f>
        <v/>
      </c>
      <c r="T1153">
        <f>HYPERLINK("https://klasma.github.io/Logging_2404/kartor/A 52538-2020 karta.png", "A 52538-2020")</f>
        <v/>
      </c>
      <c r="V1153">
        <f>HYPERLINK("https://klasma.github.io/Logging_2404/klagomål/A 52538-2020 FSC-klagomål.docx", "A 52538-2020")</f>
        <v/>
      </c>
      <c r="W1153">
        <f>HYPERLINK("https://klasma.github.io/Logging_2404/klagomålsmail/A 52538-2020 FSC-klagomål mail.docx", "A 52538-2020")</f>
        <v/>
      </c>
      <c r="X1153">
        <f>HYPERLINK("https://klasma.github.io/Logging_2404/tillsyn/A 52538-2020 tillsynsbegäran.docx", "A 52538-2020")</f>
        <v/>
      </c>
      <c r="Y1153">
        <f>HYPERLINK("https://klasma.github.io/Logging_2404/tillsynsmail/A 52538-2020 tillsynsbegäran mail.docx", "A 52538-2020")</f>
        <v/>
      </c>
    </row>
    <row r="1154" ht="15" customHeight="1">
      <c r="A1154" t="inlineStr">
        <is>
          <t>A 55810-2020</t>
        </is>
      </c>
      <c r="B1154" s="1" t="n">
        <v>44132</v>
      </c>
      <c r="C1154" s="1" t="n">
        <v>45788</v>
      </c>
      <c r="D1154" t="inlineStr">
        <is>
          <t>VÄSTERBOTTENS LÄN</t>
        </is>
      </c>
      <c r="E1154" t="inlineStr">
        <is>
          <t>SKELLEFTEÅ</t>
        </is>
      </c>
      <c r="F1154" t="inlineStr">
        <is>
          <t>Sveaskog</t>
        </is>
      </c>
      <c r="G1154" t="n">
        <v>20.1</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55810-2020 artfynd.xlsx", "A 55810-2020")</f>
        <v/>
      </c>
      <c r="T1154">
        <f>HYPERLINK("https://klasma.github.io/Logging_2482/kartor/A 55810-2020 karta.png", "A 55810-2020")</f>
        <v/>
      </c>
      <c r="V1154">
        <f>HYPERLINK("https://klasma.github.io/Logging_2482/klagomål/A 55810-2020 FSC-klagomål.docx", "A 55810-2020")</f>
        <v/>
      </c>
      <c r="W1154">
        <f>HYPERLINK("https://klasma.github.io/Logging_2482/klagomålsmail/A 55810-2020 FSC-klagomål mail.docx", "A 55810-2020")</f>
        <v/>
      </c>
      <c r="X1154">
        <f>HYPERLINK("https://klasma.github.io/Logging_2482/tillsyn/A 55810-2020 tillsynsbegäran.docx", "A 55810-2020")</f>
        <v/>
      </c>
      <c r="Y1154">
        <f>HYPERLINK("https://klasma.github.io/Logging_2482/tillsynsmail/A 55810-2020 tillsynsbegäran mail.docx", "A 55810-2020")</f>
        <v/>
      </c>
    </row>
    <row r="1155" ht="15" customHeight="1">
      <c r="A1155" t="inlineStr">
        <is>
          <t>A 57861-2020</t>
        </is>
      </c>
      <c r="B1155" s="1" t="n">
        <v>44141</v>
      </c>
      <c r="C1155" s="1" t="n">
        <v>45788</v>
      </c>
      <c r="D1155" t="inlineStr">
        <is>
          <t>VÄSTERBOTTENS LÄN</t>
        </is>
      </c>
      <c r="E1155" t="inlineStr">
        <is>
          <t>VILHELMINA</t>
        </is>
      </c>
      <c r="F1155" t="inlineStr">
        <is>
          <t>Sveaskog</t>
        </is>
      </c>
      <c r="G1155" t="n">
        <v>11.9</v>
      </c>
      <c r="H1155" t="n">
        <v>0</v>
      </c>
      <c r="I1155" t="n">
        <v>0</v>
      </c>
      <c r="J1155" t="n">
        <v>0</v>
      </c>
      <c r="K1155" t="n">
        <v>1</v>
      </c>
      <c r="L1155" t="n">
        <v>0</v>
      </c>
      <c r="M1155" t="n">
        <v>0</v>
      </c>
      <c r="N1155" t="n">
        <v>0</v>
      </c>
      <c r="O1155" t="n">
        <v>1</v>
      </c>
      <c r="P1155" t="n">
        <v>1</v>
      </c>
      <c r="Q1155" t="n">
        <v>1</v>
      </c>
      <c r="R1155" s="2" t="inlineStr">
        <is>
          <t>Fläckporing</t>
        </is>
      </c>
      <c r="S1155">
        <f>HYPERLINK("https://klasma.github.io/Logging_2462/artfynd/A 57861-2020 artfynd.xlsx", "A 57861-2020")</f>
        <v/>
      </c>
      <c r="T1155">
        <f>HYPERLINK("https://klasma.github.io/Logging_2462/kartor/A 57861-2020 karta.png", "A 57861-2020")</f>
        <v/>
      </c>
      <c r="V1155">
        <f>HYPERLINK("https://klasma.github.io/Logging_2462/klagomål/A 57861-2020 FSC-klagomål.docx", "A 57861-2020")</f>
        <v/>
      </c>
      <c r="W1155">
        <f>HYPERLINK("https://klasma.github.io/Logging_2462/klagomålsmail/A 57861-2020 FSC-klagomål mail.docx", "A 57861-2020")</f>
        <v/>
      </c>
      <c r="X1155">
        <f>HYPERLINK("https://klasma.github.io/Logging_2462/tillsyn/A 57861-2020 tillsynsbegäran.docx", "A 57861-2020")</f>
        <v/>
      </c>
      <c r="Y1155">
        <f>HYPERLINK("https://klasma.github.io/Logging_2462/tillsynsmail/A 57861-2020 tillsynsbegäran mail.docx", "A 57861-2020")</f>
        <v/>
      </c>
    </row>
    <row r="1156" ht="15" customHeight="1">
      <c r="A1156" t="inlineStr">
        <is>
          <t>A 58269-2020</t>
        </is>
      </c>
      <c r="B1156" s="1" t="n">
        <v>44144</v>
      </c>
      <c r="C1156" s="1" t="n">
        <v>45788</v>
      </c>
      <c r="D1156" t="inlineStr">
        <is>
          <t>VÄSTERBOTTENS LÄN</t>
        </is>
      </c>
      <c r="E1156" t="inlineStr">
        <is>
          <t>VINDELN</t>
        </is>
      </c>
      <c r="F1156" t="inlineStr">
        <is>
          <t>Sveaskog</t>
        </is>
      </c>
      <c r="G1156" t="n">
        <v>6.2</v>
      </c>
      <c r="H1156" t="n">
        <v>1</v>
      </c>
      <c r="I1156" t="n">
        <v>1</v>
      </c>
      <c r="J1156" t="n">
        <v>0</v>
      </c>
      <c r="K1156" t="n">
        <v>0</v>
      </c>
      <c r="L1156" t="n">
        <v>0</v>
      </c>
      <c r="M1156" t="n">
        <v>0</v>
      </c>
      <c r="N1156" t="n">
        <v>0</v>
      </c>
      <c r="O1156" t="n">
        <v>0</v>
      </c>
      <c r="P1156" t="n">
        <v>0</v>
      </c>
      <c r="Q1156" t="n">
        <v>1</v>
      </c>
      <c r="R1156" s="2" t="inlineStr">
        <is>
          <t>Lappranunkel</t>
        </is>
      </c>
      <c r="S1156">
        <f>HYPERLINK("https://klasma.github.io/Logging_2404/artfynd/A 58269-2020 artfynd.xlsx", "A 58269-2020")</f>
        <v/>
      </c>
      <c r="T1156">
        <f>HYPERLINK("https://klasma.github.io/Logging_2404/kartor/A 58269-2020 karta.png", "A 58269-2020")</f>
        <v/>
      </c>
      <c r="V1156">
        <f>HYPERLINK("https://klasma.github.io/Logging_2404/klagomål/A 58269-2020 FSC-klagomål.docx", "A 58269-2020")</f>
        <v/>
      </c>
      <c r="W1156">
        <f>HYPERLINK("https://klasma.github.io/Logging_2404/klagomålsmail/A 58269-2020 FSC-klagomål mail.docx", "A 58269-2020")</f>
        <v/>
      </c>
      <c r="X1156">
        <f>HYPERLINK("https://klasma.github.io/Logging_2404/tillsyn/A 58269-2020 tillsynsbegäran.docx", "A 58269-2020")</f>
        <v/>
      </c>
      <c r="Y1156">
        <f>HYPERLINK("https://klasma.github.io/Logging_2404/tillsynsmail/A 58269-2020 tillsynsbegäran mail.docx", "A 58269-2020")</f>
        <v/>
      </c>
    </row>
    <row r="1157" ht="15" customHeight="1">
      <c r="A1157" t="inlineStr">
        <is>
          <t>A 59120-2020</t>
        </is>
      </c>
      <c r="B1157" s="1" t="n">
        <v>44147</v>
      </c>
      <c r="C1157" s="1" t="n">
        <v>45788</v>
      </c>
      <c r="D1157" t="inlineStr">
        <is>
          <t>VÄSTERBOTTENS LÄN</t>
        </is>
      </c>
      <c r="E1157" t="inlineStr">
        <is>
          <t>NORSJÖ</t>
        </is>
      </c>
      <c r="F1157" t="inlineStr">
        <is>
          <t>Sveaskog</t>
        </is>
      </c>
      <c r="G1157" t="n">
        <v>19.6</v>
      </c>
      <c r="H1157" t="n">
        <v>0</v>
      </c>
      <c r="I1157" t="n">
        <v>1</v>
      </c>
      <c r="J1157" t="n">
        <v>0</v>
      </c>
      <c r="K1157" t="n">
        <v>0</v>
      </c>
      <c r="L1157" t="n">
        <v>0</v>
      </c>
      <c r="M1157" t="n">
        <v>0</v>
      </c>
      <c r="N1157" t="n">
        <v>0</v>
      </c>
      <c r="O1157" t="n">
        <v>0</v>
      </c>
      <c r="P1157" t="n">
        <v>0</v>
      </c>
      <c r="Q1157" t="n">
        <v>1</v>
      </c>
      <c r="R1157" s="2" t="inlineStr">
        <is>
          <t>Bollvitmossa</t>
        </is>
      </c>
      <c r="S1157">
        <f>HYPERLINK("https://klasma.github.io/Logging_2417/artfynd/A 59120-2020 artfynd.xlsx", "A 59120-2020")</f>
        <v/>
      </c>
      <c r="T1157">
        <f>HYPERLINK("https://klasma.github.io/Logging_2417/kartor/A 59120-2020 karta.png", "A 59120-2020")</f>
        <v/>
      </c>
      <c r="V1157">
        <f>HYPERLINK("https://klasma.github.io/Logging_2417/klagomål/A 59120-2020 FSC-klagomål.docx", "A 59120-2020")</f>
        <v/>
      </c>
      <c r="W1157">
        <f>HYPERLINK("https://klasma.github.io/Logging_2417/klagomålsmail/A 59120-2020 FSC-klagomål mail.docx", "A 59120-2020")</f>
        <v/>
      </c>
      <c r="X1157">
        <f>HYPERLINK("https://klasma.github.io/Logging_2417/tillsyn/A 59120-2020 tillsynsbegäran.docx", "A 59120-2020")</f>
        <v/>
      </c>
      <c r="Y1157">
        <f>HYPERLINK("https://klasma.github.io/Logging_2417/tillsynsmail/A 59120-2020 tillsynsbegäran mail.docx", "A 59120-2020")</f>
        <v/>
      </c>
    </row>
    <row r="1158" ht="15" customHeight="1">
      <c r="A1158" t="inlineStr">
        <is>
          <t>A 62699-2020</t>
        </is>
      </c>
      <c r="B1158" s="1" t="n">
        <v>44161</v>
      </c>
      <c r="C1158" s="1" t="n">
        <v>45788</v>
      </c>
      <c r="D1158" t="inlineStr">
        <is>
          <t>VÄSTERBOTTENS LÄN</t>
        </is>
      </c>
      <c r="E1158" t="inlineStr">
        <is>
          <t>NORSJÖ</t>
        </is>
      </c>
      <c r="F1158" t="inlineStr">
        <is>
          <t>Sveaskog</t>
        </is>
      </c>
      <c r="G1158" t="n">
        <v>2</v>
      </c>
      <c r="H1158" t="n">
        <v>0</v>
      </c>
      <c r="I1158" t="n">
        <v>1</v>
      </c>
      <c r="J1158" t="n">
        <v>0</v>
      </c>
      <c r="K1158" t="n">
        <v>0</v>
      </c>
      <c r="L1158" t="n">
        <v>0</v>
      </c>
      <c r="M1158" t="n">
        <v>0</v>
      </c>
      <c r="N1158" t="n">
        <v>0</v>
      </c>
      <c r="O1158" t="n">
        <v>0</v>
      </c>
      <c r="P1158" t="n">
        <v>0</v>
      </c>
      <c r="Q1158" t="n">
        <v>1</v>
      </c>
      <c r="R1158" s="2" t="inlineStr">
        <is>
          <t>Bronshjon</t>
        </is>
      </c>
      <c r="S1158">
        <f>HYPERLINK("https://klasma.github.io/Logging_2417/artfynd/A 62699-2020 artfynd.xlsx", "A 62699-2020")</f>
        <v/>
      </c>
      <c r="T1158">
        <f>HYPERLINK("https://klasma.github.io/Logging_2417/kartor/A 62699-2020 karta.png", "A 62699-2020")</f>
        <v/>
      </c>
      <c r="V1158">
        <f>HYPERLINK("https://klasma.github.io/Logging_2417/klagomål/A 62699-2020 FSC-klagomål.docx", "A 62699-2020")</f>
        <v/>
      </c>
      <c r="W1158">
        <f>HYPERLINK("https://klasma.github.io/Logging_2417/klagomålsmail/A 62699-2020 FSC-klagomål mail.docx", "A 62699-2020")</f>
        <v/>
      </c>
      <c r="X1158">
        <f>HYPERLINK("https://klasma.github.io/Logging_2417/tillsyn/A 62699-2020 tillsynsbegäran.docx", "A 62699-2020")</f>
        <v/>
      </c>
      <c r="Y1158">
        <f>HYPERLINK("https://klasma.github.io/Logging_2417/tillsynsmail/A 62699-2020 tillsynsbegäran mail.docx", "A 62699-2020")</f>
        <v/>
      </c>
    </row>
    <row r="1159" ht="15" customHeight="1">
      <c r="A1159" t="inlineStr">
        <is>
          <t>A 63227-2020</t>
        </is>
      </c>
      <c r="B1159" s="1" t="n">
        <v>44163</v>
      </c>
      <c r="C1159" s="1" t="n">
        <v>45788</v>
      </c>
      <c r="D1159" t="inlineStr">
        <is>
          <t>VÄSTERBOTTENS LÄN</t>
        </is>
      </c>
      <c r="E1159" t="inlineStr">
        <is>
          <t>VINDELN</t>
        </is>
      </c>
      <c r="F1159" t="inlineStr">
        <is>
          <t>Sveaskog</t>
        </is>
      </c>
      <c r="G1159" t="n">
        <v>2.6</v>
      </c>
      <c r="H1159" t="n">
        <v>0</v>
      </c>
      <c r="I1159" t="n">
        <v>0</v>
      </c>
      <c r="J1159" t="n">
        <v>1</v>
      </c>
      <c r="K1159" t="n">
        <v>0</v>
      </c>
      <c r="L1159" t="n">
        <v>0</v>
      </c>
      <c r="M1159" t="n">
        <v>0</v>
      </c>
      <c r="N1159" t="n">
        <v>0</v>
      </c>
      <c r="O1159" t="n">
        <v>1</v>
      </c>
      <c r="P1159" t="n">
        <v>0</v>
      </c>
      <c r="Q1159" t="n">
        <v>1</v>
      </c>
      <c r="R1159" s="2" t="inlineStr">
        <is>
          <t>Garnlav</t>
        </is>
      </c>
      <c r="S1159">
        <f>HYPERLINK("https://klasma.github.io/Logging_2404/artfynd/A 63227-2020 artfynd.xlsx", "A 63227-2020")</f>
        <v/>
      </c>
      <c r="T1159">
        <f>HYPERLINK("https://klasma.github.io/Logging_2404/kartor/A 63227-2020 karta.png", "A 63227-2020")</f>
        <v/>
      </c>
      <c r="V1159">
        <f>HYPERLINK("https://klasma.github.io/Logging_2404/klagomål/A 63227-2020 FSC-klagomål.docx", "A 63227-2020")</f>
        <v/>
      </c>
      <c r="W1159">
        <f>HYPERLINK("https://klasma.github.io/Logging_2404/klagomålsmail/A 63227-2020 FSC-klagomål mail.docx", "A 63227-2020")</f>
        <v/>
      </c>
      <c r="X1159">
        <f>HYPERLINK("https://klasma.github.io/Logging_2404/tillsyn/A 63227-2020 tillsynsbegäran.docx", "A 63227-2020")</f>
        <v/>
      </c>
      <c r="Y1159">
        <f>HYPERLINK("https://klasma.github.io/Logging_2404/tillsynsmail/A 63227-2020 tillsynsbegäran mail.docx", "A 63227-2020")</f>
        <v/>
      </c>
    </row>
    <row r="1160" ht="15" customHeight="1">
      <c r="A1160" t="inlineStr">
        <is>
          <t>A 63237-2020</t>
        </is>
      </c>
      <c r="B1160" s="1" t="n">
        <v>44163</v>
      </c>
      <c r="C1160" s="1" t="n">
        <v>45788</v>
      </c>
      <c r="D1160" t="inlineStr">
        <is>
          <t>VÄSTERBOTTENS LÄN</t>
        </is>
      </c>
      <c r="E1160" t="inlineStr">
        <is>
          <t>ROBERTSFORS</t>
        </is>
      </c>
      <c r="F1160" t="inlineStr">
        <is>
          <t>Sveaskog</t>
        </is>
      </c>
      <c r="G1160" t="n">
        <v>1.4</v>
      </c>
      <c r="H1160" t="n">
        <v>0</v>
      </c>
      <c r="I1160" t="n">
        <v>0</v>
      </c>
      <c r="J1160" t="n">
        <v>1</v>
      </c>
      <c r="K1160" t="n">
        <v>0</v>
      </c>
      <c r="L1160" t="n">
        <v>0</v>
      </c>
      <c r="M1160" t="n">
        <v>0</v>
      </c>
      <c r="N1160" t="n">
        <v>0</v>
      </c>
      <c r="O1160" t="n">
        <v>1</v>
      </c>
      <c r="P1160" t="n">
        <v>0</v>
      </c>
      <c r="Q1160" t="n">
        <v>1</v>
      </c>
      <c r="R1160" s="2" t="inlineStr">
        <is>
          <t>Garnlav</t>
        </is>
      </c>
      <c r="S1160">
        <f>HYPERLINK("https://klasma.github.io/Logging_2409/artfynd/A 63237-2020 artfynd.xlsx", "A 63237-2020")</f>
        <v/>
      </c>
      <c r="T1160">
        <f>HYPERLINK("https://klasma.github.io/Logging_2409/kartor/A 63237-2020 karta.png", "A 63237-2020")</f>
        <v/>
      </c>
      <c r="V1160">
        <f>HYPERLINK("https://klasma.github.io/Logging_2409/klagomål/A 63237-2020 FSC-klagomål.docx", "A 63237-2020")</f>
        <v/>
      </c>
      <c r="W1160">
        <f>HYPERLINK("https://klasma.github.io/Logging_2409/klagomålsmail/A 63237-2020 FSC-klagomål mail.docx", "A 63237-2020")</f>
        <v/>
      </c>
      <c r="X1160">
        <f>HYPERLINK("https://klasma.github.io/Logging_2409/tillsyn/A 63237-2020 tillsynsbegäran.docx", "A 63237-2020")</f>
        <v/>
      </c>
      <c r="Y1160">
        <f>HYPERLINK("https://klasma.github.io/Logging_2409/tillsynsmail/A 63237-2020 tillsynsbegäran mail.docx", "A 63237-2020")</f>
        <v/>
      </c>
    </row>
    <row r="1161" ht="15" customHeight="1">
      <c r="A1161" t="inlineStr">
        <is>
          <t>A 64185-2020</t>
        </is>
      </c>
      <c r="B1161" s="1" t="n">
        <v>44167</v>
      </c>
      <c r="C1161" s="1" t="n">
        <v>45788</v>
      </c>
      <c r="D1161" t="inlineStr">
        <is>
          <t>VÄSTERBOTTENS LÄN</t>
        </is>
      </c>
      <c r="E1161" t="inlineStr">
        <is>
          <t>NORDMALING</t>
        </is>
      </c>
      <c r="F1161" t="inlineStr">
        <is>
          <t>SCA</t>
        </is>
      </c>
      <c r="G1161" t="n">
        <v>1.7</v>
      </c>
      <c r="H1161" t="n">
        <v>0</v>
      </c>
      <c r="I1161" t="n">
        <v>0</v>
      </c>
      <c r="J1161" t="n">
        <v>1</v>
      </c>
      <c r="K1161" t="n">
        <v>0</v>
      </c>
      <c r="L1161" t="n">
        <v>0</v>
      </c>
      <c r="M1161" t="n">
        <v>0</v>
      </c>
      <c r="N1161" t="n">
        <v>0</v>
      </c>
      <c r="O1161" t="n">
        <v>1</v>
      </c>
      <c r="P1161" t="n">
        <v>0</v>
      </c>
      <c r="Q1161" t="n">
        <v>1</v>
      </c>
      <c r="R1161" s="2" t="inlineStr">
        <is>
          <t>Gränsticka</t>
        </is>
      </c>
      <c r="S1161">
        <f>HYPERLINK("https://klasma.github.io/Logging_2401/artfynd/A 64185-2020 artfynd.xlsx", "A 64185-2020")</f>
        <v/>
      </c>
      <c r="T1161">
        <f>HYPERLINK("https://klasma.github.io/Logging_2401/kartor/A 64185-2020 karta.png", "A 64185-2020")</f>
        <v/>
      </c>
      <c r="V1161">
        <f>HYPERLINK("https://klasma.github.io/Logging_2401/klagomål/A 64185-2020 FSC-klagomål.docx", "A 64185-2020")</f>
        <v/>
      </c>
      <c r="W1161">
        <f>HYPERLINK("https://klasma.github.io/Logging_2401/klagomålsmail/A 64185-2020 FSC-klagomål mail.docx", "A 64185-2020")</f>
        <v/>
      </c>
      <c r="X1161">
        <f>HYPERLINK("https://klasma.github.io/Logging_2401/tillsyn/A 64185-2020 tillsynsbegäran.docx", "A 64185-2020")</f>
        <v/>
      </c>
      <c r="Y1161">
        <f>HYPERLINK("https://klasma.github.io/Logging_2401/tillsynsmail/A 64185-2020 tillsynsbegäran mail.docx", "A 64185-2020")</f>
        <v/>
      </c>
    </row>
    <row r="1162" ht="15" customHeight="1">
      <c r="A1162" t="inlineStr">
        <is>
          <t>A 65617-2020</t>
        </is>
      </c>
      <c r="B1162" s="1" t="n">
        <v>44173</v>
      </c>
      <c r="C1162" s="1" t="n">
        <v>45788</v>
      </c>
      <c r="D1162" t="inlineStr">
        <is>
          <t>VÄSTERBOTTENS LÄN</t>
        </is>
      </c>
      <c r="E1162" t="inlineStr">
        <is>
          <t>NORDMALING</t>
        </is>
      </c>
      <c r="F1162" t="inlineStr">
        <is>
          <t>SCA</t>
        </is>
      </c>
      <c r="G1162" t="n">
        <v>4.3</v>
      </c>
      <c r="H1162" t="n">
        <v>0</v>
      </c>
      <c r="I1162" t="n">
        <v>0</v>
      </c>
      <c r="J1162" t="n">
        <v>1</v>
      </c>
      <c r="K1162" t="n">
        <v>0</v>
      </c>
      <c r="L1162" t="n">
        <v>0</v>
      </c>
      <c r="M1162" t="n">
        <v>0</v>
      </c>
      <c r="N1162" t="n">
        <v>0</v>
      </c>
      <c r="O1162" t="n">
        <v>1</v>
      </c>
      <c r="P1162" t="n">
        <v>0</v>
      </c>
      <c r="Q1162" t="n">
        <v>1</v>
      </c>
      <c r="R1162" s="2" t="inlineStr">
        <is>
          <t>Lunglav</t>
        </is>
      </c>
      <c r="S1162">
        <f>HYPERLINK("https://klasma.github.io/Logging_2401/artfynd/A 65617-2020 artfynd.xlsx", "A 65617-2020")</f>
        <v/>
      </c>
      <c r="T1162">
        <f>HYPERLINK("https://klasma.github.io/Logging_2401/kartor/A 65617-2020 karta.png", "A 65617-2020")</f>
        <v/>
      </c>
      <c r="V1162">
        <f>HYPERLINK("https://klasma.github.io/Logging_2401/klagomål/A 65617-2020 FSC-klagomål.docx", "A 65617-2020")</f>
        <v/>
      </c>
      <c r="W1162">
        <f>HYPERLINK("https://klasma.github.io/Logging_2401/klagomålsmail/A 65617-2020 FSC-klagomål mail.docx", "A 65617-2020")</f>
        <v/>
      </c>
      <c r="X1162">
        <f>HYPERLINK("https://klasma.github.io/Logging_2401/tillsyn/A 65617-2020 tillsynsbegäran.docx", "A 65617-2020")</f>
        <v/>
      </c>
      <c r="Y1162">
        <f>HYPERLINK("https://klasma.github.io/Logging_2401/tillsynsmail/A 65617-2020 tillsynsbegäran mail.docx", "A 65617-2020")</f>
        <v/>
      </c>
    </row>
    <row r="1163" ht="15" customHeight="1">
      <c r="A1163" t="inlineStr">
        <is>
          <t>A 68291-2020</t>
        </is>
      </c>
      <c r="B1163" s="1" t="n">
        <v>44183</v>
      </c>
      <c r="C1163" s="1" t="n">
        <v>45788</v>
      </c>
      <c r="D1163" t="inlineStr">
        <is>
          <t>VÄSTERBOTTENS LÄN</t>
        </is>
      </c>
      <c r="E1163" t="inlineStr">
        <is>
          <t>NORDMALING</t>
        </is>
      </c>
      <c r="F1163" t="inlineStr">
        <is>
          <t>SCA</t>
        </is>
      </c>
      <c r="G1163" t="n">
        <v>2.2</v>
      </c>
      <c r="H1163" t="n">
        <v>0</v>
      </c>
      <c r="I1163" t="n">
        <v>0</v>
      </c>
      <c r="J1163" t="n">
        <v>1</v>
      </c>
      <c r="K1163" t="n">
        <v>0</v>
      </c>
      <c r="L1163" t="n">
        <v>0</v>
      </c>
      <c r="M1163" t="n">
        <v>0</v>
      </c>
      <c r="N1163" t="n">
        <v>0</v>
      </c>
      <c r="O1163" t="n">
        <v>1</v>
      </c>
      <c r="P1163" t="n">
        <v>0</v>
      </c>
      <c r="Q1163" t="n">
        <v>1</v>
      </c>
      <c r="R1163" s="2" t="inlineStr">
        <is>
          <t>Granticka</t>
        </is>
      </c>
      <c r="S1163">
        <f>HYPERLINK("https://klasma.github.io/Logging_2401/artfynd/A 68291-2020 artfynd.xlsx", "A 68291-2020")</f>
        <v/>
      </c>
      <c r="T1163">
        <f>HYPERLINK("https://klasma.github.io/Logging_2401/kartor/A 68291-2020 karta.png", "A 68291-2020")</f>
        <v/>
      </c>
      <c r="V1163">
        <f>HYPERLINK("https://klasma.github.io/Logging_2401/klagomål/A 68291-2020 FSC-klagomål.docx", "A 68291-2020")</f>
        <v/>
      </c>
      <c r="W1163">
        <f>HYPERLINK("https://klasma.github.io/Logging_2401/klagomålsmail/A 68291-2020 FSC-klagomål mail.docx", "A 68291-2020")</f>
        <v/>
      </c>
      <c r="X1163">
        <f>HYPERLINK("https://klasma.github.io/Logging_2401/tillsyn/A 68291-2020 tillsynsbegäran.docx", "A 68291-2020")</f>
        <v/>
      </c>
      <c r="Y1163">
        <f>HYPERLINK("https://klasma.github.io/Logging_2401/tillsynsmail/A 68291-2020 tillsynsbegäran mail.docx", "A 68291-2020")</f>
        <v/>
      </c>
    </row>
    <row r="1164" ht="15" customHeight="1">
      <c r="A1164" t="inlineStr">
        <is>
          <t>A 3502-2021</t>
        </is>
      </c>
      <c r="B1164" s="1" t="n">
        <v>44218</v>
      </c>
      <c r="C1164" s="1" t="n">
        <v>45788</v>
      </c>
      <c r="D1164" t="inlineStr">
        <is>
          <t>VÄSTERBOTTENS LÄN</t>
        </is>
      </c>
      <c r="E1164" t="inlineStr">
        <is>
          <t>STORUMAN</t>
        </is>
      </c>
      <c r="F1164" t="inlineStr">
        <is>
          <t>Sveaskog</t>
        </is>
      </c>
      <c r="G1164" t="n">
        <v>4.3</v>
      </c>
      <c r="H1164" t="n">
        <v>0</v>
      </c>
      <c r="I1164" t="n">
        <v>1</v>
      </c>
      <c r="J1164" t="n">
        <v>0</v>
      </c>
      <c r="K1164" t="n">
        <v>0</v>
      </c>
      <c r="L1164" t="n">
        <v>0</v>
      </c>
      <c r="M1164" t="n">
        <v>0</v>
      </c>
      <c r="N1164" t="n">
        <v>0</v>
      </c>
      <c r="O1164" t="n">
        <v>0</v>
      </c>
      <c r="P1164" t="n">
        <v>0</v>
      </c>
      <c r="Q1164" t="n">
        <v>1</v>
      </c>
      <c r="R1164" s="2" t="inlineStr">
        <is>
          <t>Stuplav</t>
        </is>
      </c>
      <c r="S1164">
        <f>HYPERLINK("https://klasma.github.io/Logging_2421/artfynd/A 3502-2021 artfynd.xlsx", "A 3502-2021")</f>
        <v/>
      </c>
      <c r="T1164">
        <f>HYPERLINK("https://klasma.github.io/Logging_2421/kartor/A 3502-2021 karta.png", "A 3502-2021")</f>
        <v/>
      </c>
      <c r="V1164">
        <f>HYPERLINK("https://klasma.github.io/Logging_2421/klagomål/A 3502-2021 FSC-klagomål.docx", "A 3502-2021")</f>
        <v/>
      </c>
      <c r="W1164">
        <f>HYPERLINK("https://klasma.github.io/Logging_2421/klagomålsmail/A 3502-2021 FSC-klagomål mail.docx", "A 3502-2021")</f>
        <v/>
      </c>
      <c r="X1164">
        <f>HYPERLINK("https://klasma.github.io/Logging_2421/tillsyn/A 3502-2021 tillsynsbegäran.docx", "A 3502-2021")</f>
        <v/>
      </c>
      <c r="Y1164">
        <f>HYPERLINK("https://klasma.github.io/Logging_2421/tillsynsmail/A 3502-2021 tillsynsbegäran mail.docx", "A 3502-2021")</f>
        <v/>
      </c>
    </row>
    <row r="1165" ht="15" customHeight="1">
      <c r="A1165" t="inlineStr">
        <is>
          <t>A 3816-2021</t>
        </is>
      </c>
      <c r="B1165" s="1" t="n">
        <v>44221</v>
      </c>
      <c r="C1165" s="1" t="n">
        <v>45788</v>
      </c>
      <c r="D1165" t="inlineStr">
        <is>
          <t>VÄSTERBOTTENS LÄN</t>
        </is>
      </c>
      <c r="E1165" t="inlineStr">
        <is>
          <t>NORDMALING</t>
        </is>
      </c>
      <c r="G1165" t="n">
        <v>2.3</v>
      </c>
      <c r="H1165" t="n">
        <v>0</v>
      </c>
      <c r="I1165" t="n">
        <v>1</v>
      </c>
      <c r="J1165" t="n">
        <v>0</v>
      </c>
      <c r="K1165" t="n">
        <v>0</v>
      </c>
      <c r="L1165" t="n">
        <v>0</v>
      </c>
      <c r="M1165" t="n">
        <v>0</v>
      </c>
      <c r="N1165" t="n">
        <v>0</v>
      </c>
      <c r="O1165" t="n">
        <v>0</v>
      </c>
      <c r="P1165" t="n">
        <v>0</v>
      </c>
      <c r="Q1165" t="n">
        <v>1</v>
      </c>
      <c r="R1165" s="2" t="inlineStr">
        <is>
          <t>Trådticka</t>
        </is>
      </c>
      <c r="S1165">
        <f>HYPERLINK("https://klasma.github.io/Logging_2401/artfynd/A 3816-2021 artfynd.xlsx", "A 3816-2021")</f>
        <v/>
      </c>
      <c r="T1165">
        <f>HYPERLINK("https://klasma.github.io/Logging_2401/kartor/A 3816-2021 karta.png", "A 3816-2021")</f>
        <v/>
      </c>
      <c r="V1165">
        <f>HYPERLINK("https://klasma.github.io/Logging_2401/klagomål/A 3816-2021 FSC-klagomål.docx", "A 3816-2021")</f>
        <v/>
      </c>
      <c r="W1165">
        <f>HYPERLINK("https://klasma.github.io/Logging_2401/klagomålsmail/A 3816-2021 FSC-klagomål mail.docx", "A 3816-2021")</f>
        <v/>
      </c>
      <c r="X1165">
        <f>HYPERLINK("https://klasma.github.io/Logging_2401/tillsyn/A 3816-2021 tillsynsbegäran.docx", "A 3816-2021")</f>
        <v/>
      </c>
      <c r="Y1165">
        <f>HYPERLINK("https://klasma.github.io/Logging_2401/tillsynsmail/A 3816-2021 tillsynsbegäran mail.docx", "A 3816-2021")</f>
        <v/>
      </c>
    </row>
    <row r="1166" ht="15" customHeight="1">
      <c r="A1166" t="inlineStr">
        <is>
          <t>A 6210-2021</t>
        </is>
      </c>
      <c r="B1166" s="1" t="n">
        <v>44232</v>
      </c>
      <c r="C1166" s="1" t="n">
        <v>45788</v>
      </c>
      <c r="D1166" t="inlineStr">
        <is>
          <t>VÄSTERBOTTENS LÄN</t>
        </is>
      </c>
      <c r="E1166" t="inlineStr">
        <is>
          <t>STORUMAN</t>
        </is>
      </c>
      <c r="G1166" t="n">
        <v>14</v>
      </c>
      <c r="H1166" t="n">
        <v>0</v>
      </c>
      <c r="I1166" t="n">
        <v>0</v>
      </c>
      <c r="J1166" t="n">
        <v>1</v>
      </c>
      <c r="K1166" t="n">
        <v>0</v>
      </c>
      <c r="L1166" t="n">
        <v>0</v>
      </c>
      <c r="M1166" t="n">
        <v>0</v>
      </c>
      <c r="N1166" t="n">
        <v>0</v>
      </c>
      <c r="O1166" t="n">
        <v>1</v>
      </c>
      <c r="P1166" t="n">
        <v>0</v>
      </c>
      <c r="Q1166" t="n">
        <v>1</v>
      </c>
      <c r="R1166" s="2" t="inlineStr">
        <is>
          <t>Granticka</t>
        </is>
      </c>
      <c r="S1166">
        <f>HYPERLINK("https://klasma.github.io/Logging_2421/artfynd/A 6210-2021 artfynd.xlsx", "A 6210-2021")</f>
        <v/>
      </c>
      <c r="T1166">
        <f>HYPERLINK("https://klasma.github.io/Logging_2421/kartor/A 6210-2021 karta.png", "A 6210-2021")</f>
        <v/>
      </c>
      <c r="V1166">
        <f>HYPERLINK("https://klasma.github.io/Logging_2421/klagomål/A 6210-2021 FSC-klagomål.docx", "A 6210-2021")</f>
        <v/>
      </c>
      <c r="W1166">
        <f>HYPERLINK("https://klasma.github.io/Logging_2421/klagomålsmail/A 6210-2021 FSC-klagomål mail.docx", "A 6210-2021")</f>
        <v/>
      </c>
      <c r="X1166">
        <f>HYPERLINK("https://klasma.github.io/Logging_2421/tillsyn/A 6210-2021 tillsynsbegäran.docx", "A 6210-2021")</f>
        <v/>
      </c>
      <c r="Y1166">
        <f>HYPERLINK("https://klasma.github.io/Logging_2421/tillsynsmail/A 6210-2021 tillsynsbegäran mail.docx", "A 6210-2021")</f>
        <v/>
      </c>
    </row>
    <row r="1167" ht="15" customHeight="1">
      <c r="A1167" t="inlineStr">
        <is>
          <t>A 6852-2021</t>
        </is>
      </c>
      <c r="B1167" s="1" t="n">
        <v>44237</v>
      </c>
      <c r="C1167" s="1" t="n">
        <v>45788</v>
      </c>
      <c r="D1167" t="inlineStr">
        <is>
          <t>VÄSTERBOTTENS LÄN</t>
        </is>
      </c>
      <c r="E1167" t="inlineStr">
        <is>
          <t>STORUMAN</t>
        </is>
      </c>
      <c r="F1167" t="inlineStr">
        <is>
          <t>Sveaskog</t>
        </is>
      </c>
      <c r="G1167" t="n">
        <v>6.7</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HYPERLINK("https://klasma.github.io/Logging_2421/artfynd/A 6852-2021 artfynd.xlsx", "A 6852-2021")</f>
        <v/>
      </c>
      <c r="T1167">
        <f>HYPERLINK("https://klasma.github.io/Logging_2421/kartor/A 6852-2021 karta.png", "A 6852-2021")</f>
        <v/>
      </c>
      <c r="V1167">
        <f>HYPERLINK("https://klasma.github.io/Logging_2421/klagomål/A 6852-2021 FSC-klagomål.docx", "A 6852-2021")</f>
        <v/>
      </c>
      <c r="W1167">
        <f>HYPERLINK("https://klasma.github.io/Logging_2421/klagomålsmail/A 6852-2021 FSC-klagomål mail.docx", "A 6852-2021")</f>
        <v/>
      </c>
      <c r="X1167">
        <f>HYPERLINK("https://klasma.github.io/Logging_2421/tillsyn/A 6852-2021 tillsynsbegäran.docx", "A 6852-2021")</f>
        <v/>
      </c>
      <c r="Y1167">
        <f>HYPERLINK("https://klasma.github.io/Logging_2421/tillsynsmail/A 6852-2021 tillsynsbegäran mail.docx", "A 6852-2021")</f>
        <v/>
      </c>
    </row>
    <row r="1168" ht="15" customHeight="1">
      <c r="A1168" t="inlineStr">
        <is>
          <t>A 10340-2021</t>
        </is>
      </c>
      <c r="B1168" s="1" t="n">
        <v>44257</v>
      </c>
      <c r="C1168" s="1" t="n">
        <v>45788</v>
      </c>
      <c r="D1168" t="inlineStr">
        <is>
          <t>VÄSTERBOTTENS LÄN</t>
        </is>
      </c>
      <c r="E1168" t="inlineStr">
        <is>
          <t>VINDELN</t>
        </is>
      </c>
      <c r="F1168" t="inlineStr">
        <is>
          <t>Sveaskog</t>
        </is>
      </c>
      <c r="G1168" t="n">
        <v>3</v>
      </c>
      <c r="H1168" t="n">
        <v>0</v>
      </c>
      <c r="I1168" t="n">
        <v>0</v>
      </c>
      <c r="J1168" t="n">
        <v>1</v>
      </c>
      <c r="K1168" t="n">
        <v>0</v>
      </c>
      <c r="L1168" t="n">
        <v>0</v>
      </c>
      <c r="M1168" t="n">
        <v>0</v>
      </c>
      <c r="N1168" t="n">
        <v>0</v>
      </c>
      <c r="O1168" t="n">
        <v>1</v>
      </c>
      <c r="P1168" t="n">
        <v>0</v>
      </c>
      <c r="Q1168" t="n">
        <v>1</v>
      </c>
      <c r="R1168" s="2" t="inlineStr">
        <is>
          <t>Garnlav</t>
        </is>
      </c>
      <c r="S1168">
        <f>HYPERLINK("https://klasma.github.io/Logging_2404/artfynd/A 10340-2021 artfynd.xlsx", "A 10340-2021")</f>
        <v/>
      </c>
      <c r="T1168">
        <f>HYPERLINK("https://klasma.github.io/Logging_2404/kartor/A 10340-2021 karta.png", "A 10340-2021")</f>
        <v/>
      </c>
      <c r="V1168">
        <f>HYPERLINK("https://klasma.github.io/Logging_2404/klagomål/A 10340-2021 FSC-klagomål.docx", "A 10340-2021")</f>
        <v/>
      </c>
      <c r="W1168">
        <f>HYPERLINK("https://klasma.github.io/Logging_2404/klagomålsmail/A 10340-2021 FSC-klagomål mail.docx", "A 10340-2021")</f>
        <v/>
      </c>
      <c r="X1168">
        <f>HYPERLINK("https://klasma.github.io/Logging_2404/tillsyn/A 10340-2021 tillsynsbegäran.docx", "A 10340-2021")</f>
        <v/>
      </c>
      <c r="Y1168">
        <f>HYPERLINK("https://klasma.github.io/Logging_2404/tillsynsmail/A 10340-2021 tillsynsbegäran mail.docx", "A 10340-2021")</f>
        <v/>
      </c>
    </row>
    <row r="1169" ht="15" customHeight="1">
      <c r="A1169" t="inlineStr">
        <is>
          <t>A 11845-2021</t>
        </is>
      </c>
      <c r="B1169" s="1" t="n">
        <v>44265</v>
      </c>
      <c r="C1169" s="1" t="n">
        <v>45788</v>
      </c>
      <c r="D1169" t="inlineStr">
        <is>
          <t>VÄSTERBOTTENS LÄN</t>
        </is>
      </c>
      <c r="E1169" t="inlineStr">
        <is>
          <t>SORSELE</t>
        </is>
      </c>
      <c r="G1169" t="n">
        <v>2.8</v>
      </c>
      <c r="H1169" t="n">
        <v>0</v>
      </c>
      <c r="I1169" t="n">
        <v>0</v>
      </c>
      <c r="J1169" t="n">
        <v>1</v>
      </c>
      <c r="K1169" t="n">
        <v>0</v>
      </c>
      <c r="L1169" t="n">
        <v>0</v>
      </c>
      <c r="M1169" t="n">
        <v>0</v>
      </c>
      <c r="N1169" t="n">
        <v>0</v>
      </c>
      <c r="O1169" t="n">
        <v>1</v>
      </c>
      <c r="P1169" t="n">
        <v>0</v>
      </c>
      <c r="Q1169" t="n">
        <v>1</v>
      </c>
      <c r="R1169" s="2" t="inlineStr">
        <is>
          <t>Blå taggsvamp</t>
        </is>
      </c>
      <c r="S1169">
        <f>HYPERLINK("https://klasma.github.io/Logging_2422/artfynd/A 11845-2021 artfynd.xlsx", "A 11845-2021")</f>
        <v/>
      </c>
      <c r="T1169">
        <f>HYPERLINK("https://klasma.github.io/Logging_2422/kartor/A 11845-2021 karta.png", "A 11845-2021")</f>
        <v/>
      </c>
      <c r="V1169">
        <f>HYPERLINK("https://klasma.github.io/Logging_2422/klagomål/A 11845-2021 FSC-klagomål.docx", "A 11845-2021")</f>
        <v/>
      </c>
      <c r="W1169">
        <f>HYPERLINK("https://klasma.github.io/Logging_2422/klagomålsmail/A 11845-2021 FSC-klagomål mail.docx", "A 11845-2021")</f>
        <v/>
      </c>
      <c r="X1169">
        <f>HYPERLINK("https://klasma.github.io/Logging_2422/tillsyn/A 11845-2021 tillsynsbegäran.docx", "A 11845-2021")</f>
        <v/>
      </c>
      <c r="Y1169">
        <f>HYPERLINK("https://klasma.github.io/Logging_2422/tillsynsmail/A 11845-2021 tillsynsbegäran mail.docx", "A 11845-2021")</f>
        <v/>
      </c>
    </row>
    <row r="1170" ht="15" customHeight="1">
      <c r="A1170" t="inlineStr">
        <is>
          <t>A 14083-2021</t>
        </is>
      </c>
      <c r="B1170" s="1" t="n">
        <v>44277</v>
      </c>
      <c r="C1170" s="1" t="n">
        <v>45788</v>
      </c>
      <c r="D1170" t="inlineStr">
        <is>
          <t>VÄSTERBOTTENS LÄN</t>
        </is>
      </c>
      <c r="E1170" t="inlineStr">
        <is>
          <t>BJURHOLM</t>
        </is>
      </c>
      <c r="F1170" t="inlineStr">
        <is>
          <t>SCA</t>
        </is>
      </c>
      <c r="G1170" t="n">
        <v>15.1</v>
      </c>
      <c r="H1170" t="n">
        <v>0</v>
      </c>
      <c r="I1170" t="n">
        <v>0</v>
      </c>
      <c r="J1170" t="n">
        <v>1</v>
      </c>
      <c r="K1170" t="n">
        <v>0</v>
      </c>
      <c r="L1170" t="n">
        <v>0</v>
      </c>
      <c r="M1170" t="n">
        <v>0</v>
      </c>
      <c r="N1170" t="n">
        <v>0</v>
      </c>
      <c r="O1170" t="n">
        <v>1</v>
      </c>
      <c r="P1170" t="n">
        <v>0</v>
      </c>
      <c r="Q1170" t="n">
        <v>1</v>
      </c>
      <c r="R1170" s="2" t="inlineStr">
        <is>
          <t>Dvärgbägarlav</t>
        </is>
      </c>
      <c r="S1170">
        <f>HYPERLINK("https://klasma.github.io/Logging_2403/artfynd/A 14083-2021 artfynd.xlsx", "A 14083-2021")</f>
        <v/>
      </c>
      <c r="T1170">
        <f>HYPERLINK("https://klasma.github.io/Logging_2403/kartor/A 14083-2021 karta.png", "A 14083-2021")</f>
        <v/>
      </c>
      <c r="V1170">
        <f>HYPERLINK("https://klasma.github.io/Logging_2403/klagomål/A 14083-2021 FSC-klagomål.docx", "A 14083-2021")</f>
        <v/>
      </c>
      <c r="W1170">
        <f>HYPERLINK("https://klasma.github.io/Logging_2403/klagomålsmail/A 14083-2021 FSC-klagomål mail.docx", "A 14083-2021")</f>
        <v/>
      </c>
      <c r="X1170">
        <f>HYPERLINK("https://klasma.github.io/Logging_2403/tillsyn/A 14083-2021 tillsynsbegäran.docx", "A 14083-2021")</f>
        <v/>
      </c>
      <c r="Y1170">
        <f>HYPERLINK("https://klasma.github.io/Logging_2403/tillsynsmail/A 14083-2021 tillsynsbegäran mail.docx", "A 14083-2021")</f>
        <v/>
      </c>
    </row>
    <row r="1171" ht="15" customHeight="1">
      <c r="A1171" t="inlineStr">
        <is>
          <t>A 14088-2021</t>
        </is>
      </c>
      <c r="B1171" s="1" t="n">
        <v>44277</v>
      </c>
      <c r="C1171" s="1" t="n">
        <v>45788</v>
      </c>
      <c r="D1171" t="inlineStr">
        <is>
          <t>VÄSTERBOTTENS LÄN</t>
        </is>
      </c>
      <c r="E1171" t="inlineStr">
        <is>
          <t>BJURHOLM</t>
        </is>
      </c>
      <c r="F1171" t="inlineStr">
        <is>
          <t>SCA</t>
        </is>
      </c>
      <c r="G1171" t="n">
        <v>7.6</v>
      </c>
      <c r="H1171" t="n">
        <v>0</v>
      </c>
      <c r="I1171" t="n">
        <v>0</v>
      </c>
      <c r="J1171" t="n">
        <v>1</v>
      </c>
      <c r="K1171" t="n">
        <v>0</v>
      </c>
      <c r="L1171" t="n">
        <v>0</v>
      </c>
      <c r="M1171" t="n">
        <v>0</v>
      </c>
      <c r="N1171" t="n">
        <v>0</v>
      </c>
      <c r="O1171" t="n">
        <v>1</v>
      </c>
      <c r="P1171" t="n">
        <v>0</v>
      </c>
      <c r="Q1171" t="n">
        <v>1</v>
      </c>
      <c r="R1171" s="2" t="inlineStr">
        <is>
          <t>Lunglav</t>
        </is>
      </c>
      <c r="S1171">
        <f>HYPERLINK("https://klasma.github.io/Logging_2403/artfynd/A 14088-2021 artfynd.xlsx", "A 14088-2021")</f>
        <v/>
      </c>
      <c r="T1171">
        <f>HYPERLINK("https://klasma.github.io/Logging_2403/kartor/A 14088-2021 karta.png", "A 14088-2021")</f>
        <v/>
      </c>
      <c r="V1171">
        <f>HYPERLINK("https://klasma.github.io/Logging_2403/klagomål/A 14088-2021 FSC-klagomål.docx", "A 14088-2021")</f>
        <v/>
      </c>
      <c r="W1171">
        <f>HYPERLINK("https://klasma.github.io/Logging_2403/klagomålsmail/A 14088-2021 FSC-klagomål mail.docx", "A 14088-2021")</f>
        <v/>
      </c>
      <c r="X1171">
        <f>HYPERLINK("https://klasma.github.io/Logging_2403/tillsyn/A 14088-2021 tillsynsbegäran.docx", "A 14088-2021")</f>
        <v/>
      </c>
      <c r="Y1171">
        <f>HYPERLINK("https://klasma.github.io/Logging_2403/tillsynsmail/A 14088-2021 tillsynsbegäran mail.docx", "A 14088-2021")</f>
        <v/>
      </c>
    </row>
    <row r="1172" ht="15" customHeight="1">
      <c r="A1172" t="inlineStr">
        <is>
          <t>A 14857-2021</t>
        </is>
      </c>
      <c r="B1172" s="1" t="n">
        <v>44280</v>
      </c>
      <c r="C1172" s="1" t="n">
        <v>45788</v>
      </c>
      <c r="D1172" t="inlineStr">
        <is>
          <t>VÄSTERBOTTENS LÄN</t>
        </is>
      </c>
      <c r="E1172" t="inlineStr">
        <is>
          <t>SKELLEFTEÅ</t>
        </is>
      </c>
      <c r="F1172" t="inlineStr">
        <is>
          <t>SCA</t>
        </is>
      </c>
      <c r="G1172" t="n">
        <v>3.7</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HYPERLINK("https://klasma.github.io/Logging_2482/artfynd/A 14857-2021 artfynd.xlsx", "A 14857-2021")</f>
        <v/>
      </c>
      <c r="T1172">
        <f>HYPERLINK("https://klasma.github.io/Logging_2482/kartor/A 14857-2021 karta.png", "A 14857-2021")</f>
        <v/>
      </c>
      <c r="V1172">
        <f>HYPERLINK("https://klasma.github.io/Logging_2482/klagomål/A 14857-2021 FSC-klagomål.docx", "A 14857-2021")</f>
        <v/>
      </c>
      <c r="W1172">
        <f>HYPERLINK("https://klasma.github.io/Logging_2482/klagomålsmail/A 14857-2021 FSC-klagomål mail.docx", "A 14857-2021")</f>
        <v/>
      </c>
      <c r="X1172">
        <f>HYPERLINK("https://klasma.github.io/Logging_2482/tillsyn/A 14857-2021 tillsynsbegäran.docx", "A 14857-2021")</f>
        <v/>
      </c>
      <c r="Y1172">
        <f>HYPERLINK("https://klasma.github.io/Logging_2482/tillsynsmail/A 14857-2021 tillsynsbegäran mail.docx", "A 14857-2021")</f>
        <v/>
      </c>
      <c r="Z1172">
        <f>HYPERLINK("https://klasma.github.io/Logging_2482/fåglar/A 14857-2021 prioriterade fågelarter.docx", "A 14857-2021")</f>
        <v/>
      </c>
    </row>
    <row r="1173" ht="15" customHeight="1">
      <c r="A1173" t="inlineStr">
        <is>
          <t>A 18248-2021</t>
        </is>
      </c>
      <c r="B1173" s="1" t="n">
        <v>44305</v>
      </c>
      <c r="C1173" s="1" t="n">
        <v>45788</v>
      </c>
      <c r="D1173" t="inlineStr">
        <is>
          <t>VÄSTERBOTTENS LÄN</t>
        </is>
      </c>
      <c r="E1173" t="inlineStr">
        <is>
          <t>UMEÅ</t>
        </is>
      </c>
      <c r="G1173" t="n">
        <v>22</v>
      </c>
      <c r="H1173" t="n">
        <v>1</v>
      </c>
      <c r="I1173" t="n">
        <v>0</v>
      </c>
      <c r="J1173" t="n">
        <v>0</v>
      </c>
      <c r="K1173" t="n">
        <v>0</v>
      </c>
      <c r="L1173" t="n">
        <v>0</v>
      </c>
      <c r="M1173" t="n">
        <v>0</v>
      </c>
      <c r="N1173" t="n">
        <v>0</v>
      </c>
      <c r="O1173" t="n">
        <v>0</v>
      </c>
      <c r="P1173" t="n">
        <v>0</v>
      </c>
      <c r="Q1173" t="n">
        <v>1</v>
      </c>
      <c r="R1173" s="2" t="inlineStr">
        <is>
          <t>Bivråk</t>
        </is>
      </c>
      <c r="S1173">
        <f>HYPERLINK("https://klasma.github.io/Logging_2480/artfynd/A 18248-2021 artfynd.xlsx", "A 18248-2021")</f>
        <v/>
      </c>
      <c r="T1173">
        <f>HYPERLINK("https://klasma.github.io/Logging_2480/kartor/A 18248-2021 karta.png", "A 18248-2021")</f>
        <v/>
      </c>
      <c r="V1173">
        <f>HYPERLINK("https://klasma.github.io/Logging_2480/klagomål/A 18248-2021 FSC-klagomål.docx", "A 18248-2021")</f>
        <v/>
      </c>
      <c r="W1173">
        <f>HYPERLINK("https://klasma.github.io/Logging_2480/klagomålsmail/A 18248-2021 FSC-klagomål mail.docx", "A 18248-2021")</f>
        <v/>
      </c>
      <c r="X1173">
        <f>HYPERLINK("https://klasma.github.io/Logging_2480/tillsyn/A 18248-2021 tillsynsbegäran.docx", "A 18248-2021")</f>
        <v/>
      </c>
      <c r="Y1173">
        <f>HYPERLINK("https://klasma.github.io/Logging_2480/tillsynsmail/A 18248-2021 tillsynsbegäran mail.docx", "A 18248-2021")</f>
        <v/>
      </c>
      <c r="Z1173">
        <f>HYPERLINK("https://klasma.github.io/Logging_2480/fåglar/A 18248-2021 prioriterade fågelarter.docx", "A 18248-2021")</f>
        <v/>
      </c>
    </row>
    <row r="1174" ht="15" customHeight="1">
      <c r="A1174" t="inlineStr">
        <is>
          <t>A 19713-2021</t>
        </is>
      </c>
      <c r="B1174" s="1" t="n">
        <v>44312</v>
      </c>
      <c r="C1174" s="1" t="n">
        <v>45788</v>
      </c>
      <c r="D1174" t="inlineStr">
        <is>
          <t>VÄSTERBOTTENS LÄN</t>
        </is>
      </c>
      <c r="E1174" t="inlineStr">
        <is>
          <t>STORUMAN</t>
        </is>
      </c>
      <c r="G1174" t="n">
        <v>1.6</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19713-2021 artfynd.xlsx", "A 19713-2021")</f>
        <v/>
      </c>
      <c r="T1174">
        <f>HYPERLINK("https://klasma.github.io/Logging_2421/kartor/A 19713-2021 karta.png", "A 19713-2021")</f>
        <v/>
      </c>
      <c r="U1174">
        <f>HYPERLINK("https://klasma.github.io/Logging_2421/knärot/A 19713-2021 karta knärot.png", "A 19713-2021")</f>
        <v/>
      </c>
      <c r="V1174">
        <f>HYPERLINK("https://klasma.github.io/Logging_2421/klagomål/A 19713-2021 FSC-klagomål.docx", "A 19713-2021")</f>
        <v/>
      </c>
      <c r="W1174">
        <f>HYPERLINK("https://klasma.github.io/Logging_2421/klagomålsmail/A 19713-2021 FSC-klagomål mail.docx", "A 19713-2021")</f>
        <v/>
      </c>
      <c r="X1174">
        <f>HYPERLINK("https://klasma.github.io/Logging_2421/tillsyn/A 19713-2021 tillsynsbegäran.docx", "A 19713-2021")</f>
        <v/>
      </c>
      <c r="Y1174">
        <f>HYPERLINK("https://klasma.github.io/Logging_2421/tillsynsmail/A 19713-2021 tillsynsbegäran mail.docx", "A 19713-2021")</f>
        <v/>
      </c>
    </row>
    <row r="1175" ht="15" customHeight="1">
      <c r="A1175" t="inlineStr">
        <is>
          <t>A 27850-2021</t>
        </is>
      </c>
      <c r="B1175" s="1" t="n">
        <v>44354</v>
      </c>
      <c r="C1175" s="1" t="n">
        <v>45788</v>
      </c>
      <c r="D1175" t="inlineStr">
        <is>
          <t>VÄSTERBOTTENS LÄN</t>
        </is>
      </c>
      <c r="E1175" t="inlineStr">
        <is>
          <t>NORDMALING</t>
        </is>
      </c>
      <c r="F1175" t="inlineStr">
        <is>
          <t>Kyrkan</t>
        </is>
      </c>
      <c r="G1175" t="n">
        <v>1.2</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HYPERLINK("https://klasma.github.io/Logging_2401/artfynd/A 27850-2021 artfynd.xlsx", "A 27850-2021")</f>
        <v/>
      </c>
      <c r="T1175">
        <f>HYPERLINK("https://klasma.github.io/Logging_2401/kartor/A 27850-2021 karta.png", "A 27850-2021")</f>
        <v/>
      </c>
      <c r="V1175">
        <f>HYPERLINK("https://klasma.github.io/Logging_2401/klagomål/A 27850-2021 FSC-klagomål.docx", "A 27850-2021")</f>
        <v/>
      </c>
      <c r="W1175">
        <f>HYPERLINK("https://klasma.github.io/Logging_2401/klagomålsmail/A 27850-2021 FSC-klagomål mail.docx", "A 27850-2021")</f>
        <v/>
      </c>
      <c r="X1175">
        <f>HYPERLINK("https://klasma.github.io/Logging_2401/tillsyn/A 27850-2021 tillsynsbegäran.docx", "A 27850-2021")</f>
        <v/>
      </c>
      <c r="Y1175">
        <f>HYPERLINK("https://klasma.github.io/Logging_2401/tillsynsmail/A 27850-2021 tillsynsbegäran mail.docx", "A 27850-2021")</f>
        <v/>
      </c>
    </row>
    <row r="1176" ht="15" customHeight="1">
      <c r="A1176" t="inlineStr">
        <is>
          <t>A 29376-2021</t>
        </is>
      </c>
      <c r="B1176" s="1" t="n">
        <v>44361</v>
      </c>
      <c r="C1176" s="1" t="n">
        <v>45788</v>
      </c>
      <c r="D1176" t="inlineStr">
        <is>
          <t>VÄSTERBOTTENS LÄN</t>
        </is>
      </c>
      <c r="E1176" t="inlineStr">
        <is>
          <t>VILHELMINA</t>
        </is>
      </c>
      <c r="F1176" t="inlineStr">
        <is>
          <t>Allmännings- och besparingsskogar</t>
        </is>
      </c>
      <c r="G1176" t="n">
        <v>110.8</v>
      </c>
      <c r="H1176" t="n">
        <v>1</v>
      </c>
      <c r="I1176" t="n">
        <v>0</v>
      </c>
      <c r="J1176" t="n">
        <v>0</v>
      </c>
      <c r="K1176" t="n">
        <v>0</v>
      </c>
      <c r="L1176" t="n">
        <v>0</v>
      </c>
      <c r="M1176" t="n">
        <v>0</v>
      </c>
      <c r="N1176" t="n">
        <v>0</v>
      </c>
      <c r="O1176" t="n">
        <v>0</v>
      </c>
      <c r="P1176" t="n">
        <v>0</v>
      </c>
      <c r="Q1176" t="n">
        <v>1</v>
      </c>
      <c r="R1176" s="2" t="inlineStr">
        <is>
          <t>Lavskrika</t>
        </is>
      </c>
      <c r="S1176">
        <f>HYPERLINK("https://klasma.github.io/Logging_2462/artfynd/A 29376-2021 artfynd.xlsx", "A 29376-2021")</f>
        <v/>
      </c>
      <c r="T1176">
        <f>HYPERLINK("https://klasma.github.io/Logging_2462/kartor/A 29376-2021 karta.png", "A 29376-2021")</f>
        <v/>
      </c>
      <c r="V1176">
        <f>HYPERLINK("https://klasma.github.io/Logging_2462/klagomål/A 29376-2021 FSC-klagomål.docx", "A 29376-2021")</f>
        <v/>
      </c>
      <c r="W1176">
        <f>HYPERLINK("https://klasma.github.io/Logging_2462/klagomålsmail/A 29376-2021 FSC-klagomål mail.docx", "A 29376-2021")</f>
        <v/>
      </c>
      <c r="X1176">
        <f>HYPERLINK("https://klasma.github.io/Logging_2462/tillsyn/A 29376-2021 tillsynsbegäran.docx", "A 29376-2021")</f>
        <v/>
      </c>
      <c r="Y1176">
        <f>HYPERLINK("https://klasma.github.io/Logging_2462/tillsynsmail/A 29376-2021 tillsynsbegäran mail.docx", "A 29376-2021")</f>
        <v/>
      </c>
      <c r="Z1176">
        <f>HYPERLINK("https://klasma.github.io/Logging_2462/fåglar/A 29376-2021 prioriterade fågelarter.docx", "A 29376-2021")</f>
        <v/>
      </c>
    </row>
    <row r="1177" ht="15" customHeight="1">
      <c r="A1177" t="inlineStr">
        <is>
          <t>A 31355-2021</t>
        </is>
      </c>
      <c r="B1177" s="1" t="n">
        <v>44369</v>
      </c>
      <c r="C1177" s="1" t="n">
        <v>45788</v>
      </c>
      <c r="D1177" t="inlineStr">
        <is>
          <t>VÄSTERBOTTENS LÄN</t>
        </is>
      </c>
      <c r="E1177" t="inlineStr">
        <is>
          <t>NORDMALING</t>
        </is>
      </c>
      <c r="F1177" t="inlineStr">
        <is>
          <t>SCA</t>
        </is>
      </c>
      <c r="G1177" t="n">
        <v>5.1</v>
      </c>
      <c r="H1177" t="n">
        <v>0</v>
      </c>
      <c r="I1177" t="n">
        <v>0</v>
      </c>
      <c r="J1177" t="n">
        <v>1</v>
      </c>
      <c r="K1177" t="n">
        <v>0</v>
      </c>
      <c r="L1177" t="n">
        <v>0</v>
      </c>
      <c r="M1177" t="n">
        <v>0</v>
      </c>
      <c r="N1177" t="n">
        <v>0</v>
      </c>
      <c r="O1177" t="n">
        <v>1</v>
      </c>
      <c r="P1177" t="n">
        <v>0</v>
      </c>
      <c r="Q1177" t="n">
        <v>1</v>
      </c>
      <c r="R1177" s="2" t="inlineStr">
        <is>
          <t>Garnlav</t>
        </is>
      </c>
      <c r="S1177">
        <f>HYPERLINK("https://klasma.github.io/Logging_2401/artfynd/A 31355-2021 artfynd.xlsx", "A 31355-2021")</f>
        <v/>
      </c>
      <c r="T1177">
        <f>HYPERLINK("https://klasma.github.io/Logging_2401/kartor/A 31355-2021 karta.png", "A 31355-2021")</f>
        <v/>
      </c>
      <c r="V1177">
        <f>HYPERLINK("https://klasma.github.io/Logging_2401/klagomål/A 31355-2021 FSC-klagomål.docx", "A 31355-2021")</f>
        <v/>
      </c>
      <c r="W1177">
        <f>HYPERLINK("https://klasma.github.io/Logging_2401/klagomålsmail/A 31355-2021 FSC-klagomål mail.docx", "A 31355-2021")</f>
        <v/>
      </c>
      <c r="X1177">
        <f>HYPERLINK("https://klasma.github.io/Logging_2401/tillsyn/A 31355-2021 tillsynsbegäran.docx", "A 31355-2021")</f>
        <v/>
      </c>
      <c r="Y1177">
        <f>HYPERLINK("https://klasma.github.io/Logging_2401/tillsynsmail/A 31355-2021 tillsynsbegäran mail.docx", "A 31355-2021")</f>
        <v/>
      </c>
    </row>
    <row r="1178" ht="15" customHeight="1">
      <c r="A1178" t="inlineStr">
        <is>
          <t>A 31460-2021</t>
        </is>
      </c>
      <c r="B1178" s="1" t="n">
        <v>44369</v>
      </c>
      <c r="C1178" s="1" t="n">
        <v>45788</v>
      </c>
      <c r="D1178" t="inlineStr">
        <is>
          <t>VÄSTERBOTTENS LÄN</t>
        </is>
      </c>
      <c r="E1178" t="inlineStr">
        <is>
          <t>LYCKSELE</t>
        </is>
      </c>
      <c r="F1178" t="inlineStr">
        <is>
          <t>Sveaskog</t>
        </is>
      </c>
      <c r="G1178" t="n">
        <v>6.3</v>
      </c>
      <c r="H1178" t="n">
        <v>0</v>
      </c>
      <c r="I1178" t="n">
        <v>0</v>
      </c>
      <c r="J1178" t="n">
        <v>1</v>
      </c>
      <c r="K1178" t="n">
        <v>0</v>
      </c>
      <c r="L1178" t="n">
        <v>0</v>
      </c>
      <c r="M1178" t="n">
        <v>0</v>
      </c>
      <c r="N1178" t="n">
        <v>0</v>
      </c>
      <c r="O1178" t="n">
        <v>1</v>
      </c>
      <c r="P1178" t="n">
        <v>0</v>
      </c>
      <c r="Q1178" t="n">
        <v>1</v>
      </c>
      <c r="R1178" s="2" t="inlineStr">
        <is>
          <t>Nordtagging</t>
        </is>
      </c>
      <c r="S1178">
        <f>HYPERLINK("https://klasma.github.io/Logging_2481/artfynd/A 31460-2021 artfynd.xlsx", "A 31460-2021")</f>
        <v/>
      </c>
      <c r="T1178">
        <f>HYPERLINK("https://klasma.github.io/Logging_2481/kartor/A 31460-2021 karta.png", "A 31460-2021")</f>
        <v/>
      </c>
      <c r="V1178">
        <f>HYPERLINK("https://klasma.github.io/Logging_2481/klagomål/A 31460-2021 FSC-klagomål.docx", "A 31460-2021")</f>
        <v/>
      </c>
      <c r="W1178">
        <f>HYPERLINK("https://klasma.github.io/Logging_2481/klagomålsmail/A 31460-2021 FSC-klagomål mail.docx", "A 31460-2021")</f>
        <v/>
      </c>
      <c r="X1178">
        <f>HYPERLINK("https://klasma.github.io/Logging_2481/tillsyn/A 31460-2021 tillsynsbegäran.docx", "A 31460-2021")</f>
        <v/>
      </c>
      <c r="Y1178">
        <f>HYPERLINK("https://klasma.github.io/Logging_2481/tillsynsmail/A 31460-2021 tillsynsbegäran mail.docx", "A 31460-2021")</f>
        <v/>
      </c>
    </row>
    <row r="1179" ht="15" customHeight="1">
      <c r="A1179" t="inlineStr">
        <is>
          <t>A 32677-2021</t>
        </is>
      </c>
      <c r="B1179" s="1" t="n">
        <v>44371</v>
      </c>
      <c r="C1179" s="1" t="n">
        <v>45788</v>
      </c>
      <c r="D1179" t="inlineStr">
        <is>
          <t>VÄSTERBOTTENS LÄN</t>
        </is>
      </c>
      <c r="E1179" t="inlineStr">
        <is>
          <t>VILHELMINA</t>
        </is>
      </c>
      <c r="G1179" t="n">
        <v>9.699999999999999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32677-2021 artfynd.xlsx", "A 32677-2021")</f>
        <v/>
      </c>
      <c r="T1179">
        <f>HYPERLINK("https://klasma.github.io/Logging_2462/kartor/A 32677-2021 karta.png", "A 32677-2021")</f>
        <v/>
      </c>
      <c r="V1179">
        <f>HYPERLINK("https://klasma.github.io/Logging_2462/klagomål/A 32677-2021 FSC-klagomål.docx", "A 32677-2021")</f>
        <v/>
      </c>
      <c r="W1179">
        <f>HYPERLINK("https://klasma.github.io/Logging_2462/klagomålsmail/A 32677-2021 FSC-klagomål mail.docx", "A 32677-2021")</f>
        <v/>
      </c>
      <c r="X1179">
        <f>HYPERLINK("https://klasma.github.io/Logging_2462/tillsyn/A 32677-2021 tillsynsbegäran.docx", "A 32677-2021")</f>
        <v/>
      </c>
      <c r="Y1179">
        <f>HYPERLINK("https://klasma.github.io/Logging_2462/tillsynsmail/A 32677-2021 tillsynsbegäran mail.docx", "A 32677-2021")</f>
        <v/>
      </c>
      <c r="Z1179">
        <f>HYPERLINK("https://klasma.github.io/Logging_2462/fåglar/A 32677-2021 prioriterade fågelarter.docx", "A 32677-2021")</f>
        <v/>
      </c>
    </row>
    <row r="1180" ht="15" customHeight="1">
      <c r="A1180" t="inlineStr">
        <is>
          <t>A 32964-2021</t>
        </is>
      </c>
      <c r="B1180" s="1" t="n">
        <v>44376</v>
      </c>
      <c r="C1180" s="1" t="n">
        <v>45788</v>
      </c>
      <c r="D1180" t="inlineStr">
        <is>
          <t>VÄSTERBOTTENS LÄN</t>
        </is>
      </c>
      <c r="E1180" t="inlineStr">
        <is>
          <t>SKELLEFTEÅ</t>
        </is>
      </c>
      <c r="G1180" t="n">
        <v>16</v>
      </c>
      <c r="H1180" t="n">
        <v>0</v>
      </c>
      <c r="I1180" t="n">
        <v>0</v>
      </c>
      <c r="J1180" t="n">
        <v>1</v>
      </c>
      <c r="K1180" t="n">
        <v>0</v>
      </c>
      <c r="L1180" t="n">
        <v>0</v>
      </c>
      <c r="M1180" t="n">
        <v>0</v>
      </c>
      <c r="N1180" t="n">
        <v>0</v>
      </c>
      <c r="O1180" t="n">
        <v>1</v>
      </c>
      <c r="P1180" t="n">
        <v>0</v>
      </c>
      <c r="Q1180" t="n">
        <v>1</v>
      </c>
      <c r="R1180" s="2" t="inlineStr">
        <is>
          <t>Kådvaxskinn</t>
        </is>
      </c>
      <c r="S1180">
        <f>HYPERLINK("https://klasma.github.io/Logging_2482/artfynd/A 32964-2021 artfynd.xlsx", "A 32964-2021")</f>
        <v/>
      </c>
      <c r="T1180">
        <f>HYPERLINK("https://klasma.github.io/Logging_2482/kartor/A 32964-2021 karta.png", "A 32964-2021")</f>
        <v/>
      </c>
      <c r="V1180">
        <f>HYPERLINK("https://klasma.github.io/Logging_2482/klagomål/A 32964-2021 FSC-klagomål.docx", "A 32964-2021")</f>
        <v/>
      </c>
      <c r="W1180">
        <f>HYPERLINK("https://klasma.github.io/Logging_2482/klagomålsmail/A 32964-2021 FSC-klagomål mail.docx", "A 32964-2021")</f>
        <v/>
      </c>
      <c r="X1180">
        <f>HYPERLINK("https://klasma.github.io/Logging_2482/tillsyn/A 32964-2021 tillsynsbegäran.docx", "A 32964-2021")</f>
        <v/>
      </c>
      <c r="Y1180">
        <f>HYPERLINK("https://klasma.github.io/Logging_2482/tillsynsmail/A 32964-2021 tillsynsbegäran mail.docx", "A 32964-2021")</f>
        <v/>
      </c>
    </row>
    <row r="1181" ht="15" customHeight="1">
      <c r="A1181" t="inlineStr">
        <is>
          <t>A 35047-2021</t>
        </is>
      </c>
      <c r="B1181" s="1" t="n">
        <v>44384</v>
      </c>
      <c r="C1181" s="1" t="n">
        <v>45788</v>
      </c>
      <c r="D1181" t="inlineStr">
        <is>
          <t>VÄSTERBOTTENS LÄN</t>
        </is>
      </c>
      <c r="E1181" t="inlineStr">
        <is>
          <t>SKELLEFTEÅ</t>
        </is>
      </c>
      <c r="G1181" t="n">
        <v>3.1</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35047-2021 artfynd.xlsx", "A 35047-2021")</f>
        <v/>
      </c>
      <c r="T1181">
        <f>HYPERLINK("https://klasma.github.io/Logging_2482/kartor/A 35047-2021 karta.png", "A 35047-2021")</f>
        <v/>
      </c>
      <c r="V1181">
        <f>HYPERLINK("https://klasma.github.io/Logging_2482/klagomål/A 35047-2021 FSC-klagomål.docx", "A 35047-2021")</f>
        <v/>
      </c>
      <c r="W1181">
        <f>HYPERLINK("https://klasma.github.io/Logging_2482/klagomålsmail/A 35047-2021 FSC-klagomål mail.docx", "A 35047-2021")</f>
        <v/>
      </c>
      <c r="X1181">
        <f>HYPERLINK("https://klasma.github.io/Logging_2482/tillsyn/A 35047-2021 tillsynsbegäran.docx", "A 35047-2021")</f>
        <v/>
      </c>
      <c r="Y1181">
        <f>HYPERLINK("https://klasma.github.io/Logging_2482/tillsynsmail/A 35047-2021 tillsynsbegäran mail.docx", "A 35047-2021")</f>
        <v/>
      </c>
    </row>
    <row r="1182" ht="15" customHeight="1">
      <c r="A1182" t="inlineStr">
        <is>
          <t>A 35625-2021</t>
        </is>
      </c>
      <c r="B1182" s="1" t="n">
        <v>44386</v>
      </c>
      <c r="C1182" s="1" t="n">
        <v>45788</v>
      </c>
      <c r="D1182" t="inlineStr">
        <is>
          <t>VÄSTERBOTTENS LÄN</t>
        </is>
      </c>
      <c r="E1182" t="inlineStr">
        <is>
          <t>SKELLEFTEÅ</t>
        </is>
      </c>
      <c r="F1182" t="inlineStr">
        <is>
          <t>Holmen skog AB</t>
        </is>
      </c>
      <c r="G1182" t="n">
        <v>3.5</v>
      </c>
      <c r="H1182" t="n">
        <v>0</v>
      </c>
      <c r="I1182" t="n">
        <v>1</v>
      </c>
      <c r="J1182" t="n">
        <v>0</v>
      </c>
      <c r="K1182" t="n">
        <v>0</v>
      </c>
      <c r="L1182" t="n">
        <v>0</v>
      </c>
      <c r="M1182" t="n">
        <v>0</v>
      </c>
      <c r="N1182" t="n">
        <v>0</v>
      </c>
      <c r="O1182" t="n">
        <v>0</v>
      </c>
      <c r="P1182" t="n">
        <v>0</v>
      </c>
      <c r="Q1182" t="n">
        <v>1</v>
      </c>
      <c r="R1182" s="2" t="inlineStr">
        <is>
          <t>Vedticka</t>
        </is>
      </c>
      <c r="S1182">
        <f>HYPERLINK("https://klasma.github.io/Logging_2482/artfynd/A 35625-2021 artfynd.xlsx", "A 35625-2021")</f>
        <v/>
      </c>
      <c r="T1182">
        <f>HYPERLINK("https://klasma.github.io/Logging_2482/kartor/A 35625-2021 karta.png", "A 35625-2021")</f>
        <v/>
      </c>
      <c r="V1182">
        <f>HYPERLINK("https://klasma.github.io/Logging_2482/klagomål/A 35625-2021 FSC-klagomål.docx", "A 35625-2021")</f>
        <v/>
      </c>
      <c r="W1182">
        <f>HYPERLINK("https://klasma.github.io/Logging_2482/klagomålsmail/A 35625-2021 FSC-klagomål mail.docx", "A 35625-2021")</f>
        <v/>
      </c>
      <c r="X1182">
        <f>HYPERLINK("https://klasma.github.io/Logging_2482/tillsyn/A 35625-2021 tillsynsbegäran.docx", "A 35625-2021")</f>
        <v/>
      </c>
      <c r="Y1182">
        <f>HYPERLINK("https://klasma.github.io/Logging_2482/tillsynsmail/A 35625-2021 tillsynsbegäran mail.docx", "A 35625-2021")</f>
        <v/>
      </c>
    </row>
    <row r="1183" ht="15" customHeight="1">
      <c r="A1183" t="inlineStr">
        <is>
          <t>A 36929-2021</t>
        </is>
      </c>
      <c r="B1183" s="1" t="n">
        <v>44393</v>
      </c>
      <c r="C1183" s="1" t="n">
        <v>45788</v>
      </c>
      <c r="D1183" t="inlineStr">
        <is>
          <t>VÄSTERBOTTENS LÄN</t>
        </is>
      </c>
      <c r="E1183" t="inlineStr">
        <is>
          <t>ÅSELE</t>
        </is>
      </c>
      <c r="F1183" t="inlineStr">
        <is>
          <t>Sveaskog</t>
        </is>
      </c>
      <c r="G1183" t="n">
        <v>14.3</v>
      </c>
      <c r="H1183" t="n">
        <v>0</v>
      </c>
      <c r="I1183" t="n">
        <v>0</v>
      </c>
      <c r="J1183" t="n">
        <v>1</v>
      </c>
      <c r="K1183" t="n">
        <v>0</v>
      </c>
      <c r="L1183" t="n">
        <v>0</v>
      </c>
      <c r="M1183" t="n">
        <v>0</v>
      </c>
      <c r="N1183" t="n">
        <v>0</v>
      </c>
      <c r="O1183" t="n">
        <v>1</v>
      </c>
      <c r="P1183" t="n">
        <v>0</v>
      </c>
      <c r="Q1183" t="n">
        <v>1</v>
      </c>
      <c r="R1183" s="2" t="inlineStr">
        <is>
          <t>Lunglav</t>
        </is>
      </c>
      <c r="S1183">
        <f>HYPERLINK("https://klasma.github.io/Logging_2463/artfynd/A 36929-2021 artfynd.xlsx", "A 36929-2021")</f>
        <v/>
      </c>
      <c r="T1183">
        <f>HYPERLINK("https://klasma.github.io/Logging_2463/kartor/A 36929-2021 karta.png", "A 36929-2021")</f>
        <v/>
      </c>
      <c r="V1183">
        <f>HYPERLINK("https://klasma.github.io/Logging_2463/klagomål/A 36929-2021 FSC-klagomål.docx", "A 36929-2021")</f>
        <v/>
      </c>
      <c r="W1183">
        <f>HYPERLINK("https://klasma.github.io/Logging_2463/klagomålsmail/A 36929-2021 FSC-klagomål mail.docx", "A 36929-2021")</f>
        <v/>
      </c>
      <c r="X1183">
        <f>HYPERLINK("https://klasma.github.io/Logging_2463/tillsyn/A 36929-2021 tillsynsbegäran.docx", "A 36929-2021")</f>
        <v/>
      </c>
      <c r="Y1183">
        <f>HYPERLINK("https://klasma.github.io/Logging_2463/tillsynsmail/A 36929-2021 tillsynsbegäran mail.docx", "A 36929-2021")</f>
        <v/>
      </c>
    </row>
    <row r="1184" ht="15" customHeight="1">
      <c r="A1184" t="inlineStr">
        <is>
          <t>A 36938-2021</t>
        </is>
      </c>
      <c r="B1184" s="1" t="n">
        <v>44393</v>
      </c>
      <c r="C1184" s="1" t="n">
        <v>45788</v>
      </c>
      <c r="D1184" t="inlineStr">
        <is>
          <t>VÄSTERBOTTENS LÄN</t>
        </is>
      </c>
      <c r="E1184" t="inlineStr">
        <is>
          <t>ÅSELE</t>
        </is>
      </c>
      <c r="F1184" t="inlineStr">
        <is>
          <t>Sveaskog</t>
        </is>
      </c>
      <c r="G1184" t="n">
        <v>11.1</v>
      </c>
      <c r="H1184" t="n">
        <v>0</v>
      </c>
      <c r="I1184" t="n">
        <v>0</v>
      </c>
      <c r="J1184" t="n">
        <v>1</v>
      </c>
      <c r="K1184" t="n">
        <v>0</v>
      </c>
      <c r="L1184" t="n">
        <v>0</v>
      </c>
      <c r="M1184" t="n">
        <v>0</v>
      </c>
      <c r="N1184" t="n">
        <v>0</v>
      </c>
      <c r="O1184" t="n">
        <v>1</v>
      </c>
      <c r="P1184" t="n">
        <v>0</v>
      </c>
      <c r="Q1184" t="n">
        <v>1</v>
      </c>
      <c r="R1184" s="2" t="inlineStr">
        <is>
          <t>Lunglav</t>
        </is>
      </c>
      <c r="S1184">
        <f>HYPERLINK("https://klasma.github.io/Logging_2463/artfynd/A 36938-2021 artfynd.xlsx", "A 36938-2021")</f>
        <v/>
      </c>
      <c r="T1184">
        <f>HYPERLINK("https://klasma.github.io/Logging_2463/kartor/A 36938-2021 karta.png", "A 36938-2021")</f>
        <v/>
      </c>
      <c r="V1184">
        <f>HYPERLINK("https://klasma.github.io/Logging_2463/klagomål/A 36938-2021 FSC-klagomål.docx", "A 36938-2021")</f>
        <v/>
      </c>
      <c r="W1184">
        <f>HYPERLINK("https://klasma.github.io/Logging_2463/klagomålsmail/A 36938-2021 FSC-klagomål mail.docx", "A 36938-2021")</f>
        <v/>
      </c>
      <c r="X1184">
        <f>HYPERLINK("https://klasma.github.io/Logging_2463/tillsyn/A 36938-2021 tillsynsbegäran.docx", "A 36938-2021")</f>
        <v/>
      </c>
      <c r="Y1184">
        <f>HYPERLINK("https://klasma.github.io/Logging_2463/tillsynsmail/A 36938-2021 tillsynsbegäran mail.docx", "A 36938-2021")</f>
        <v/>
      </c>
    </row>
    <row r="1185" ht="15" customHeight="1">
      <c r="A1185" t="inlineStr">
        <is>
          <t>A 37583-2021</t>
        </is>
      </c>
      <c r="B1185" s="1" t="n">
        <v>44399</v>
      </c>
      <c r="C1185" s="1" t="n">
        <v>45788</v>
      </c>
      <c r="D1185" t="inlineStr">
        <is>
          <t>VÄSTERBOTTENS LÄN</t>
        </is>
      </c>
      <c r="E1185" t="inlineStr">
        <is>
          <t>LYCKSELE</t>
        </is>
      </c>
      <c r="F1185" t="inlineStr">
        <is>
          <t>Holmen skog AB</t>
        </is>
      </c>
      <c r="G1185" t="n">
        <v>10.9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37583-2021 artfynd.xlsx", "A 37583-2021")</f>
        <v/>
      </c>
      <c r="T1185">
        <f>HYPERLINK("https://klasma.github.io/Logging_2481/kartor/A 37583-2021 karta.png", "A 37583-2021")</f>
        <v/>
      </c>
      <c r="V1185">
        <f>HYPERLINK("https://klasma.github.io/Logging_2481/klagomål/A 37583-2021 FSC-klagomål.docx", "A 37583-2021")</f>
        <v/>
      </c>
      <c r="W1185">
        <f>HYPERLINK("https://klasma.github.io/Logging_2481/klagomålsmail/A 37583-2021 FSC-klagomål mail.docx", "A 37583-2021")</f>
        <v/>
      </c>
      <c r="X1185">
        <f>HYPERLINK("https://klasma.github.io/Logging_2481/tillsyn/A 37583-2021 tillsynsbegäran.docx", "A 37583-2021")</f>
        <v/>
      </c>
      <c r="Y1185">
        <f>HYPERLINK("https://klasma.github.io/Logging_2481/tillsynsmail/A 37583-2021 tillsynsbegäran mail.docx", "A 37583-2021")</f>
        <v/>
      </c>
      <c r="Z1185">
        <f>HYPERLINK("https://klasma.github.io/Logging_2481/fåglar/A 37583-2021 prioriterade fågelarter.docx", "A 37583-2021")</f>
        <v/>
      </c>
    </row>
    <row r="1186" ht="15" customHeight="1">
      <c r="A1186" t="inlineStr">
        <is>
          <t>A 38396-2021</t>
        </is>
      </c>
      <c r="B1186" s="1" t="n">
        <v>44406</v>
      </c>
      <c r="C1186" s="1" t="n">
        <v>45788</v>
      </c>
      <c r="D1186" t="inlineStr">
        <is>
          <t>VÄSTERBOTTENS LÄN</t>
        </is>
      </c>
      <c r="E1186" t="inlineStr">
        <is>
          <t>UMEÅ</t>
        </is>
      </c>
      <c r="F1186" t="inlineStr">
        <is>
          <t>Kommuner</t>
        </is>
      </c>
      <c r="G1186" t="n">
        <v>1.7</v>
      </c>
      <c r="H1186" t="n">
        <v>0</v>
      </c>
      <c r="I1186" t="n">
        <v>1</v>
      </c>
      <c r="J1186" t="n">
        <v>0</v>
      </c>
      <c r="K1186" t="n">
        <v>0</v>
      </c>
      <c r="L1186" t="n">
        <v>0</v>
      </c>
      <c r="M1186" t="n">
        <v>0</v>
      </c>
      <c r="N1186" t="n">
        <v>0</v>
      </c>
      <c r="O1186" t="n">
        <v>0</v>
      </c>
      <c r="P1186" t="n">
        <v>0</v>
      </c>
      <c r="Q1186" t="n">
        <v>1</v>
      </c>
      <c r="R1186" s="2" t="inlineStr">
        <is>
          <t>Strutbräken</t>
        </is>
      </c>
      <c r="S1186">
        <f>HYPERLINK("https://klasma.github.io/Logging_2480/artfynd/A 38396-2021 artfynd.xlsx", "A 38396-2021")</f>
        <v/>
      </c>
      <c r="T1186">
        <f>HYPERLINK("https://klasma.github.io/Logging_2480/kartor/A 38396-2021 karta.png", "A 38396-2021")</f>
        <v/>
      </c>
      <c r="V1186">
        <f>HYPERLINK("https://klasma.github.io/Logging_2480/klagomål/A 38396-2021 FSC-klagomål.docx", "A 38396-2021")</f>
        <v/>
      </c>
      <c r="W1186">
        <f>HYPERLINK("https://klasma.github.io/Logging_2480/klagomålsmail/A 38396-2021 FSC-klagomål mail.docx", "A 38396-2021")</f>
        <v/>
      </c>
      <c r="X1186">
        <f>HYPERLINK("https://klasma.github.io/Logging_2480/tillsyn/A 38396-2021 tillsynsbegäran.docx", "A 38396-2021")</f>
        <v/>
      </c>
      <c r="Y1186">
        <f>HYPERLINK("https://klasma.github.io/Logging_2480/tillsynsmail/A 38396-2021 tillsynsbegäran mail.docx", "A 38396-2021")</f>
        <v/>
      </c>
    </row>
    <row r="1187" ht="15" customHeight="1">
      <c r="A1187" t="inlineStr">
        <is>
          <t>A 38393-2021</t>
        </is>
      </c>
      <c r="B1187" s="1" t="n">
        <v>44406</v>
      </c>
      <c r="C1187" s="1" t="n">
        <v>45788</v>
      </c>
      <c r="D1187" t="inlineStr">
        <is>
          <t>VÄSTERBOTTENS LÄN</t>
        </is>
      </c>
      <c r="E1187" t="inlineStr">
        <is>
          <t>UMEÅ</t>
        </is>
      </c>
      <c r="G1187" t="n">
        <v>1</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38393-2021 artfynd.xlsx", "A 38393-2021")</f>
        <v/>
      </c>
      <c r="T1187">
        <f>HYPERLINK("https://klasma.github.io/Logging_2480/kartor/A 38393-2021 karta.png", "A 38393-2021")</f>
        <v/>
      </c>
      <c r="V1187">
        <f>HYPERLINK("https://klasma.github.io/Logging_2480/klagomål/A 38393-2021 FSC-klagomål.docx", "A 38393-2021")</f>
        <v/>
      </c>
      <c r="W1187">
        <f>HYPERLINK("https://klasma.github.io/Logging_2480/klagomålsmail/A 38393-2021 FSC-klagomål mail.docx", "A 38393-2021")</f>
        <v/>
      </c>
      <c r="X1187">
        <f>HYPERLINK("https://klasma.github.io/Logging_2480/tillsyn/A 38393-2021 tillsynsbegäran.docx", "A 38393-2021")</f>
        <v/>
      </c>
      <c r="Y1187">
        <f>HYPERLINK("https://klasma.github.io/Logging_2480/tillsynsmail/A 38393-2021 tillsynsbegäran mail.docx", "A 38393-2021")</f>
        <v/>
      </c>
      <c r="Z1187">
        <f>HYPERLINK("https://klasma.github.io/Logging_2480/fåglar/A 38393-2021 prioriterade fågelarter.docx", "A 38393-2021")</f>
        <v/>
      </c>
    </row>
    <row r="1188" ht="15" customHeight="1">
      <c r="A1188" t="inlineStr">
        <is>
          <t>A 38390-2021</t>
        </is>
      </c>
      <c r="B1188" s="1" t="n">
        <v>44406</v>
      </c>
      <c r="C1188" s="1" t="n">
        <v>45788</v>
      </c>
      <c r="D1188" t="inlineStr">
        <is>
          <t>VÄSTERBOTTENS LÄN</t>
        </is>
      </c>
      <c r="E1188" t="inlineStr">
        <is>
          <t>UMEÅ</t>
        </is>
      </c>
      <c r="F1188" t="inlineStr">
        <is>
          <t>Övriga statliga verk och myndigheter</t>
        </is>
      </c>
      <c r="G1188" t="n">
        <v>1.5</v>
      </c>
      <c r="H1188" t="n">
        <v>0</v>
      </c>
      <c r="I1188" t="n">
        <v>0</v>
      </c>
      <c r="J1188" t="n">
        <v>1</v>
      </c>
      <c r="K1188" t="n">
        <v>0</v>
      </c>
      <c r="L1188" t="n">
        <v>0</v>
      </c>
      <c r="M1188" t="n">
        <v>0</v>
      </c>
      <c r="N1188" t="n">
        <v>0</v>
      </c>
      <c r="O1188" t="n">
        <v>1</v>
      </c>
      <c r="P1188" t="n">
        <v>0</v>
      </c>
      <c r="Q1188" t="n">
        <v>1</v>
      </c>
      <c r="R1188" s="2" t="inlineStr">
        <is>
          <t>Ullticka</t>
        </is>
      </c>
      <c r="S1188">
        <f>HYPERLINK("https://klasma.github.io/Logging_2480/artfynd/A 38390-2021 artfynd.xlsx", "A 38390-2021")</f>
        <v/>
      </c>
      <c r="T1188">
        <f>HYPERLINK("https://klasma.github.io/Logging_2480/kartor/A 38390-2021 karta.png", "A 38390-2021")</f>
        <v/>
      </c>
      <c r="V1188">
        <f>HYPERLINK("https://klasma.github.io/Logging_2480/klagomål/A 38390-2021 FSC-klagomål.docx", "A 38390-2021")</f>
        <v/>
      </c>
      <c r="W1188">
        <f>HYPERLINK("https://klasma.github.io/Logging_2480/klagomålsmail/A 38390-2021 FSC-klagomål mail.docx", "A 38390-2021")</f>
        <v/>
      </c>
      <c r="X1188">
        <f>HYPERLINK("https://klasma.github.io/Logging_2480/tillsyn/A 38390-2021 tillsynsbegäran.docx", "A 38390-2021")</f>
        <v/>
      </c>
      <c r="Y1188">
        <f>HYPERLINK("https://klasma.github.io/Logging_2480/tillsynsmail/A 38390-2021 tillsynsbegäran mail.docx", "A 38390-2021")</f>
        <v/>
      </c>
    </row>
    <row r="1189" ht="15" customHeight="1">
      <c r="A1189" t="inlineStr">
        <is>
          <t>A 38438-2021</t>
        </is>
      </c>
      <c r="B1189" s="1" t="n">
        <v>44406</v>
      </c>
      <c r="C1189" s="1" t="n">
        <v>45788</v>
      </c>
      <c r="D1189" t="inlineStr">
        <is>
          <t>VÄSTERBOTTENS LÄN</t>
        </is>
      </c>
      <c r="E1189" t="inlineStr">
        <is>
          <t>UMEÅ</t>
        </is>
      </c>
      <c r="F1189" t="inlineStr">
        <is>
          <t>Övriga statliga verk och myndigheter</t>
        </is>
      </c>
      <c r="G1189" t="n">
        <v>1.8</v>
      </c>
      <c r="H1189" t="n">
        <v>0</v>
      </c>
      <c r="I1189" t="n">
        <v>1</v>
      </c>
      <c r="J1189" t="n">
        <v>0</v>
      </c>
      <c r="K1189" t="n">
        <v>0</v>
      </c>
      <c r="L1189" t="n">
        <v>0</v>
      </c>
      <c r="M1189" t="n">
        <v>0</v>
      </c>
      <c r="N1189" t="n">
        <v>0</v>
      </c>
      <c r="O1189" t="n">
        <v>0</v>
      </c>
      <c r="P1189" t="n">
        <v>0</v>
      </c>
      <c r="Q1189" t="n">
        <v>1</v>
      </c>
      <c r="R1189" s="2" t="inlineStr">
        <is>
          <t>Tibast</t>
        </is>
      </c>
      <c r="S1189">
        <f>HYPERLINK("https://klasma.github.io/Logging_2480/artfynd/A 38438-2021 artfynd.xlsx", "A 38438-2021")</f>
        <v/>
      </c>
      <c r="T1189">
        <f>HYPERLINK("https://klasma.github.io/Logging_2480/kartor/A 38438-2021 karta.png", "A 38438-2021")</f>
        <v/>
      </c>
      <c r="V1189">
        <f>HYPERLINK("https://klasma.github.io/Logging_2480/klagomål/A 38438-2021 FSC-klagomål.docx", "A 38438-2021")</f>
        <v/>
      </c>
      <c r="W1189">
        <f>HYPERLINK("https://klasma.github.io/Logging_2480/klagomålsmail/A 38438-2021 FSC-klagomål mail.docx", "A 38438-2021")</f>
        <v/>
      </c>
      <c r="X1189">
        <f>HYPERLINK("https://klasma.github.io/Logging_2480/tillsyn/A 38438-2021 tillsynsbegäran.docx", "A 38438-2021")</f>
        <v/>
      </c>
      <c r="Y1189">
        <f>HYPERLINK("https://klasma.github.io/Logging_2480/tillsynsmail/A 38438-2021 tillsynsbegäran mail.docx", "A 38438-2021")</f>
        <v/>
      </c>
    </row>
    <row r="1190" ht="15" customHeight="1">
      <c r="A1190" t="inlineStr">
        <is>
          <t>A 38437-2021</t>
        </is>
      </c>
      <c r="B1190" s="1" t="n">
        <v>44406</v>
      </c>
      <c r="C1190" s="1" t="n">
        <v>45788</v>
      </c>
      <c r="D1190" t="inlineStr">
        <is>
          <t>VÄSTERBOTTENS LÄN</t>
        </is>
      </c>
      <c r="E1190" t="inlineStr">
        <is>
          <t>UMEÅ</t>
        </is>
      </c>
      <c r="F1190" t="inlineStr">
        <is>
          <t>Övriga statliga verk och myndigheter</t>
        </is>
      </c>
      <c r="G1190" t="n">
        <v>2.3</v>
      </c>
      <c r="H1190" t="n">
        <v>0</v>
      </c>
      <c r="I1190" t="n">
        <v>1</v>
      </c>
      <c r="J1190" t="n">
        <v>0</v>
      </c>
      <c r="K1190" t="n">
        <v>0</v>
      </c>
      <c r="L1190" t="n">
        <v>0</v>
      </c>
      <c r="M1190" t="n">
        <v>0</v>
      </c>
      <c r="N1190" t="n">
        <v>0</v>
      </c>
      <c r="O1190" t="n">
        <v>0</v>
      </c>
      <c r="P1190" t="n">
        <v>0</v>
      </c>
      <c r="Q1190" t="n">
        <v>1</v>
      </c>
      <c r="R1190" s="2" t="inlineStr">
        <is>
          <t>Tibast</t>
        </is>
      </c>
      <c r="S1190">
        <f>HYPERLINK("https://klasma.github.io/Logging_2480/artfynd/A 38437-2021 artfynd.xlsx", "A 38437-2021")</f>
        <v/>
      </c>
      <c r="T1190">
        <f>HYPERLINK("https://klasma.github.io/Logging_2480/kartor/A 38437-2021 karta.png", "A 38437-2021")</f>
        <v/>
      </c>
      <c r="V1190">
        <f>HYPERLINK("https://klasma.github.io/Logging_2480/klagomål/A 38437-2021 FSC-klagomål.docx", "A 38437-2021")</f>
        <v/>
      </c>
      <c r="W1190">
        <f>HYPERLINK("https://klasma.github.io/Logging_2480/klagomålsmail/A 38437-2021 FSC-klagomål mail.docx", "A 38437-2021")</f>
        <v/>
      </c>
      <c r="X1190">
        <f>HYPERLINK("https://klasma.github.io/Logging_2480/tillsyn/A 38437-2021 tillsynsbegäran.docx", "A 38437-2021")</f>
        <v/>
      </c>
      <c r="Y1190">
        <f>HYPERLINK("https://klasma.github.io/Logging_2480/tillsynsmail/A 38437-2021 tillsynsbegäran mail.docx", "A 38437-2021")</f>
        <v/>
      </c>
    </row>
    <row r="1191" ht="15" customHeight="1">
      <c r="A1191" t="inlineStr">
        <is>
          <t>A 38545-2021</t>
        </is>
      </c>
      <c r="B1191" s="1" t="n">
        <v>44407</v>
      </c>
      <c r="C1191" s="1" t="n">
        <v>45788</v>
      </c>
      <c r="D1191" t="inlineStr">
        <is>
          <t>VÄSTERBOTTENS LÄN</t>
        </is>
      </c>
      <c r="E1191" t="inlineStr">
        <is>
          <t>UMEÅ</t>
        </is>
      </c>
      <c r="F1191" t="inlineStr">
        <is>
          <t>Kommuner</t>
        </is>
      </c>
      <c r="G1191" t="n">
        <v>0.6</v>
      </c>
      <c r="H1191" t="n">
        <v>1</v>
      </c>
      <c r="I1191" t="n">
        <v>0</v>
      </c>
      <c r="J1191" t="n">
        <v>1</v>
      </c>
      <c r="K1191" t="n">
        <v>0</v>
      </c>
      <c r="L1191" t="n">
        <v>0</v>
      </c>
      <c r="M1191" t="n">
        <v>0</v>
      </c>
      <c r="N1191" t="n">
        <v>0</v>
      </c>
      <c r="O1191" t="n">
        <v>1</v>
      </c>
      <c r="P1191" t="n">
        <v>0</v>
      </c>
      <c r="Q1191" t="n">
        <v>1</v>
      </c>
      <c r="R1191" s="2" t="inlineStr">
        <is>
          <t>Järpe</t>
        </is>
      </c>
      <c r="S1191">
        <f>HYPERLINK("https://klasma.github.io/Logging_2480/artfynd/A 38545-2021 artfynd.xlsx", "A 38545-2021")</f>
        <v/>
      </c>
      <c r="T1191">
        <f>HYPERLINK("https://klasma.github.io/Logging_2480/kartor/A 38545-2021 karta.png", "A 38545-2021")</f>
        <v/>
      </c>
      <c r="V1191">
        <f>HYPERLINK("https://klasma.github.io/Logging_2480/klagomål/A 38545-2021 FSC-klagomål.docx", "A 38545-2021")</f>
        <v/>
      </c>
      <c r="W1191">
        <f>HYPERLINK("https://klasma.github.io/Logging_2480/klagomålsmail/A 38545-2021 FSC-klagomål mail.docx", "A 38545-2021")</f>
        <v/>
      </c>
      <c r="X1191">
        <f>HYPERLINK("https://klasma.github.io/Logging_2480/tillsyn/A 38545-2021 tillsynsbegäran.docx", "A 38545-2021")</f>
        <v/>
      </c>
      <c r="Y1191">
        <f>HYPERLINK("https://klasma.github.io/Logging_2480/tillsynsmail/A 38545-2021 tillsynsbegäran mail.docx", "A 38545-2021")</f>
        <v/>
      </c>
      <c r="Z1191">
        <f>HYPERLINK("https://klasma.github.io/Logging_2480/fåglar/A 38545-2021 prioriterade fågelarter.docx", "A 38545-2021")</f>
        <v/>
      </c>
    </row>
    <row r="1192" ht="15" customHeight="1">
      <c r="A1192" t="inlineStr">
        <is>
          <t>A 38681-2021</t>
        </is>
      </c>
      <c r="B1192" s="1" t="n">
        <v>44407</v>
      </c>
      <c r="C1192" s="1" t="n">
        <v>45788</v>
      </c>
      <c r="D1192" t="inlineStr">
        <is>
          <t>VÄSTERBOTTENS LÄN</t>
        </is>
      </c>
      <c r="E1192" t="inlineStr">
        <is>
          <t>UMEÅ</t>
        </is>
      </c>
      <c r="F1192" t="inlineStr">
        <is>
          <t>Kommuner</t>
        </is>
      </c>
      <c r="G1192" t="n">
        <v>1</v>
      </c>
      <c r="H1192" t="n">
        <v>1</v>
      </c>
      <c r="I1192" t="n">
        <v>0</v>
      </c>
      <c r="J1192" t="n">
        <v>1</v>
      </c>
      <c r="K1192" t="n">
        <v>0</v>
      </c>
      <c r="L1192" t="n">
        <v>0</v>
      </c>
      <c r="M1192" t="n">
        <v>0</v>
      </c>
      <c r="N1192" t="n">
        <v>0</v>
      </c>
      <c r="O1192" t="n">
        <v>1</v>
      </c>
      <c r="P1192" t="n">
        <v>0</v>
      </c>
      <c r="Q1192" t="n">
        <v>1</v>
      </c>
      <c r="R1192" s="2" t="inlineStr">
        <is>
          <t>Talltita</t>
        </is>
      </c>
      <c r="S1192">
        <f>HYPERLINK("https://klasma.github.io/Logging_2480/artfynd/A 38681-2021 artfynd.xlsx", "A 38681-2021")</f>
        <v/>
      </c>
      <c r="T1192">
        <f>HYPERLINK("https://klasma.github.io/Logging_2480/kartor/A 38681-2021 karta.png", "A 38681-2021")</f>
        <v/>
      </c>
      <c r="V1192">
        <f>HYPERLINK("https://klasma.github.io/Logging_2480/klagomål/A 38681-2021 FSC-klagomål.docx", "A 38681-2021")</f>
        <v/>
      </c>
      <c r="W1192">
        <f>HYPERLINK("https://klasma.github.io/Logging_2480/klagomålsmail/A 38681-2021 FSC-klagomål mail.docx", "A 38681-2021")</f>
        <v/>
      </c>
      <c r="X1192">
        <f>HYPERLINK("https://klasma.github.io/Logging_2480/tillsyn/A 38681-2021 tillsynsbegäran.docx", "A 38681-2021")</f>
        <v/>
      </c>
      <c r="Y1192">
        <f>HYPERLINK("https://klasma.github.io/Logging_2480/tillsynsmail/A 38681-2021 tillsynsbegäran mail.docx", "A 38681-2021")</f>
        <v/>
      </c>
      <c r="Z1192">
        <f>HYPERLINK("https://klasma.github.io/Logging_2480/fåglar/A 38681-2021 prioriterade fågelarter.docx", "A 38681-2021")</f>
        <v/>
      </c>
    </row>
    <row r="1193" ht="15" customHeight="1">
      <c r="A1193" t="inlineStr">
        <is>
          <t>A 38683-2021</t>
        </is>
      </c>
      <c r="B1193" s="1" t="n">
        <v>44407</v>
      </c>
      <c r="C1193" s="1" t="n">
        <v>45788</v>
      </c>
      <c r="D1193" t="inlineStr">
        <is>
          <t>VÄSTERBOTTENS LÄN</t>
        </is>
      </c>
      <c r="E1193" t="inlineStr">
        <is>
          <t>UMEÅ</t>
        </is>
      </c>
      <c r="F1193" t="inlineStr">
        <is>
          <t>Kommuner</t>
        </is>
      </c>
      <c r="G1193" t="n">
        <v>0.6</v>
      </c>
      <c r="H1193" t="n">
        <v>0</v>
      </c>
      <c r="I1193" t="n">
        <v>0</v>
      </c>
      <c r="J1193" t="n">
        <v>1</v>
      </c>
      <c r="K1193" t="n">
        <v>0</v>
      </c>
      <c r="L1193" t="n">
        <v>0</v>
      </c>
      <c r="M1193" t="n">
        <v>0</v>
      </c>
      <c r="N1193" t="n">
        <v>0</v>
      </c>
      <c r="O1193" t="n">
        <v>1</v>
      </c>
      <c r="P1193" t="n">
        <v>0</v>
      </c>
      <c r="Q1193" t="n">
        <v>1</v>
      </c>
      <c r="R1193" s="2" t="inlineStr">
        <is>
          <t>Springkornsfältmätare</t>
        </is>
      </c>
      <c r="S1193">
        <f>HYPERLINK("https://klasma.github.io/Logging_2480/artfynd/A 38683-2021 artfynd.xlsx", "A 38683-2021")</f>
        <v/>
      </c>
      <c r="T1193">
        <f>HYPERLINK("https://klasma.github.io/Logging_2480/kartor/A 38683-2021 karta.png", "A 38683-2021")</f>
        <v/>
      </c>
      <c r="V1193">
        <f>HYPERLINK("https://klasma.github.io/Logging_2480/klagomål/A 38683-2021 FSC-klagomål.docx", "A 38683-2021")</f>
        <v/>
      </c>
      <c r="W1193">
        <f>HYPERLINK("https://klasma.github.io/Logging_2480/klagomålsmail/A 38683-2021 FSC-klagomål mail.docx", "A 38683-2021")</f>
        <v/>
      </c>
      <c r="X1193">
        <f>HYPERLINK("https://klasma.github.io/Logging_2480/tillsyn/A 38683-2021 tillsynsbegäran.docx", "A 38683-2021")</f>
        <v/>
      </c>
      <c r="Y1193">
        <f>HYPERLINK("https://klasma.github.io/Logging_2480/tillsynsmail/A 38683-2021 tillsynsbegäran mail.docx", "A 38683-2021")</f>
        <v/>
      </c>
    </row>
    <row r="1194" ht="15" customHeight="1">
      <c r="A1194" t="inlineStr">
        <is>
          <t>A 38719-2021</t>
        </is>
      </c>
      <c r="B1194" s="1" t="n">
        <v>44410</v>
      </c>
      <c r="C1194" s="1" t="n">
        <v>45788</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38719-2021 artfynd.xlsx", "A 38719-2021")</f>
        <v/>
      </c>
      <c r="T1194">
        <f>HYPERLINK("https://klasma.github.io/Logging_2480/kartor/A 38719-2021 karta.png", "A 38719-2021")</f>
        <v/>
      </c>
      <c r="V1194">
        <f>HYPERLINK("https://klasma.github.io/Logging_2480/klagomål/A 38719-2021 FSC-klagomål.docx", "A 38719-2021")</f>
        <v/>
      </c>
      <c r="W1194">
        <f>HYPERLINK("https://klasma.github.io/Logging_2480/klagomålsmail/A 38719-2021 FSC-klagomål mail.docx", "A 38719-2021")</f>
        <v/>
      </c>
      <c r="X1194">
        <f>HYPERLINK("https://klasma.github.io/Logging_2480/tillsyn/A 38719-2021 tillsynsbegäran.docx", "A 38719-2021")</f>
        <v/>
      </c>
      <c r="Y1194">
        <f>HYPERLINK("https://klasma.github.io/Logging_2480/tillsynsmail/A 38719-2021 tillsynsbegäran mail.docx", "A 38719-2021")</f>
        <v/>
      </c>
      <c r="Z1194">
        <f>HYPERLINK("https://klasma.github.io/Logging_2480/fåglar/A 38719-2021 prioriterade fågelarter.docx", "A 38719-2021")</f>
        <v/>
      </c>
    </row>
    <row r="1195" ht="15" customHeight="1">
      <c r="A1195" t="inlineStr">
        <is>
          <t>A 38700-2021</t>
        </is>
      </c>
      <c r="B1195" s="1" t="n">
        <v>44410</v>
      </c>
      <c r="C1195" s="1" t="n">
        <v>45788</v>
      </c>
      <c r="D1195" t="inlineStr">
        <is>
          <t>VÄSTERBOTTENS LÄN</t>
        </is>
      </c>
      <c r="E1195" t="inlineStr">
        <is>
          <t>UMEÅ</t>
        </is>
      </c>
      <c r="F1195" t="inlineStr">
        <is>
          <t>Kommuner</t>
        </is>
      </c>
      <c r="G1195" t="n">
        <v>2</v>
      </c>
      <c r="H1195" t="n">
        <v>0</v>
      </c>
      <c r="I1195" t="n">
        <v>0</v>
      </c>
      <c r="J1195" t="n">
        <v>1</v>
      </c>
      <c r="K1195" t="n">
        <v>0</v>
      </c>
      <c r="L1195" t="n">
        <v>0</v>
      </c>
      <c r="M1195" t="n">
        <v>0</v>
      </c>
      <c r="N1195" t="n">
        <v>0</v>
      </c>
      <c r="O1195" t="n">
        <v>1</v>
      </c>
      <c r="P1195" t="n">
        <v>0</v>
      </c>
      <c r="Q1195" t="n">
        <v>1</v>
      </c>
      <c r="R1195" s="2" t="inlineStr">
        <is>
          <t>Ullticka</t>
        </is>
      </c>
      <c r="S1195">
        <f>HYPERLINK("https://klasma.github.io/Logging_2480/artfynd/A 38700-2021 artfynd.xlsx", "A 38700-2021")</f>
        <v/>
      </c>
      <c r="T1195">
        <f>HYPERLINK("https://klasma.github.io/Logging_2480/kartor/A 38700-2021 karta.png", "A 38700-2021")</f>
        <v/>
      </c>
      <c r="V1195">
        <f>HYPERLINK("https://klasma.github.io/Logging_2480/klagomål/A 38700-2021 FSC-klagomål.docx", "A 38700-2021")</f>
        <v/>
      </c>
      <c r="W1195">
        <f>HYPERLINK("https://klasma.github.io/Logging_2480/klagomålsmail/A 38700-2021 FSC-klagomål mail.docx", "A 38700-2021")</f>
        <v/>
      </c>
      <c r="X1195">
        <f>HYPERLINK("https://klasma.github.io/Logging_2480/tillsyn/A 38700-2021 tillsynsbegäran.docx", "A 38700-2021")</f>
        <v/>
      </c>
      <c r="Y1195">
        <f>HYPERLINK("https://klasma.github.io/Logging_2480/tillsynsmail/A 38700-2021 tillsynsbegäran mail.docx", "A 38700-2021")</f>
        <v/>
      </c>
    </row>
    <row r="1196" ht="15" customHeight="1">
      <c r="A1196" t="inlineStr">
        <is>
          <t>A 38742-2021</t>
        </is>
      </c>
      <c r="B1196" s="1" t="n">
        <v>44410</v>
      </c>
      <c r="C1196" s="1" t="n">
        <v>45788</v>
      </c>
      <c r="D1196" t="inlineStr">
        <is>
          <t>VÄSTERBOTTENS LÄN</t>
        </is>
      </c>
      <c r="E1196" t="inlineStr">
        <is>
          <t>UMEÅ</t>
        </is>
      </c>
      <c r="F1196" t="inlineStr">
        <is>
          <t>Kommuner</t>
        </is>
      </c>
      <c r="G1196" t="n">
        <v>3.6</v>
      </c>
      <c r="H1196" t="n">
        <v>0</v>
      </c>
      <c r="I1196" t="n">
        <v>0</v>
      </c>
      <c r="J1196" t="n">
        <v>1</v>
      </c>
      <c r="K1196" t="n">
        <v>0</v>
      </c>
      <c r="L1196" t="n">
        <v>0</v>
      </c>
      <c r="M1196" t="n">
        <v>0</v>
      </c>
      <c r="N1196" t="n">
        <v>0</v>
      </c>
      <c r="O1196" t="n">
        <v>1</v>
      </c>
      <c r="P1196" t="n">
        <v>0</v>
      </c>
      <c r="Q1196" t="n">
        <v>1</v>
      </c>
      <c r="R1196" s="2" t="inlineStr">
        <is>
          <t>Stubbträfluga</t>
        </is>
      </c>
      <c r="S1196">
        <f>HYPERLINK("https://klasma.github.io/Logging_2480/artfynd/A 38742-2021 artfynd.xlsx", "A 38742-2021")</f>
        <v/>
      </c>
      <c r="T1196">
        <f>HYPERLINK("https://klasma.github.io/Logging_2480/kartor/A 38742-2021 karta.png", "A 38742-2021")</f>
        <v/>
      </c>
      <c r="V1196">
        <f>HYPERLINK("https://klasma.github.io/Logging_2480/klagomål/A 38742-2021 FSC-klagomål.docx", "A 38742-2021")</f>
        <v/>
      </c>
      <c r="W1196">
        <f>HYPERLINK("https://klasma.github.io/Logging_2480/klagomålsmail/A 38742-2021 FSC-klagomål mail.docx", "A 38742-2021")</f>
        <v/>
      </c>
      <c r="X1196">
        <f>HYPERLINK("https://klasma.github.io/Logging_2480/tillsyn/A 38742-2021 tillsynsbegäran.docx", "A 38742-2021")</f>
        <v/>
      </c>
      <c r="Y1196">
        <f>HYPERLINK("https://klasma.github.io/Logging_2480/tillsynsmail/A 38742-2021 tillsynsbegäran mail.docx", "A 38742-2021")</f>
        <v/>
      </c>
    </row>
    <row r="1197" ht="15" customHeight="1">
      <c r="A1197" t="inlineStr">
        <is>
          <t>A 39946-2021</t>
        </is>
      </c>
      <c r="B1197" s="1" t="n">
        <v>44417</v>
      </c>
      <c r="C1197" s="1" t="n">
        <v>45788</v>
      </c>
      <c r="D1197" t="inlineStr">
        <is>
          <t>VÄSTERBOTTENS LÄN</t>
        </is>
      </c>
      <c r="E1197" t="inlineStr">
        <is>
          <t>SKELLEFTEÅ</t>
        </is>
      </c>
      <c r="F1197" t="inlineStr">
        <is>
          <t>SCA</t>
        </is>
      </c>
      <c r="G1197" t="n">
        <v>3.4</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HYPERLINK("https://klasma.github.io/Logging_2482/artfynd/A 39946-2021 artfynd.xlsx", "A 39946-2021")</f>
        <v/>
      </c>
      <c r="T1197">
        <f>HYPERLINK("https://klasma.github.io/Logging_2482/kartor/A 39946-2021 karta.png", "A 39946-2021")</f>
        <v/>
      </c>
      <c r="V1197">
        <f>HYPERLINK("https://klasma.github.io/Logging_2482/klagomål/A 39946-2021 FSC-klagomål.docx", "A 39946-2021")</f>
        <v/>
      </c>
      <c r="W1197">
        <f>HYPERLINK("https://klasma.github.io/Logging_2482/klagomålsmail/A 39946-2021 FSC-klagomål mail.docx", "A 39946-2021")</f>
        <v/>
      </c>
      <c r="X1197">
        <f>HYPERLINK("https://klasma.github.io/Logging_2482/tillsyn/A 39946-2021 tillsynsbegäran.docx", "A 39946-2021")</f>
        <v/>
      </c>
      <c r="Y1197">
        <f>HYPERLINK("https://klasma.github.io/Logging_2482/tillsynsmail/A 39946-2021 tillsynsbegäran mail.docx", "A 39946-2021")</f>
        <v/>
      </c>
    </row>
    <row r="1198" ht="15" customHeight="1">
      <c r="A1198" t="inlineStr">
        <is>
          <t>A 42843-2021</t>
        </is>
      </c>
      <c r="B1198" s="1" t="n">
        <v>44430</v>
      </c>
      <c r="C1198" s="1" t="n">
        <v>45788</v>
      </c>
      <c r="D1198" t="inlineStr">
        <is>
          <t>VÄSTERBOTTENS LÄN</t>
        </is>
      </c>
      <c r="E1198" t="inlineStr">
        <is>
          <t>STORUMAN</t>
        </is>
      </c>
      <c r="F1198" t="inlineStr">
        <is>
          <t>Övriga statliga verk och myndigheter</t>
        </is>
      </c>
      <c r="G1198" t="n">
        <v>19.7</v>
      </c>
      <c r="H1198" t="n">
        <v>0</v>
      </c>
      <c r="I1198" t="n">
        <v>0</v>
      </c>
      <c r="J1198" t="n">
        <v>1</v>
      </c>
      <c r="K1198" t="n">
        <v>0</v>
      </c>
      <c r="L1198" t="n">
        <v>0</v>
      </c>
      <c r="M1198" t="n">
        <v>0</v>
      </c>
      <c r="N1198" t="n">
        <v>0</v>
      </c>
      <c r="O1198" t="n">
        <v>1</v>
      </c>
      <c r="P1198" t="n">
        <v>0</v>
      </c>
      <c r="Q1198" t="n">
        <v>1</v>
      </c>
      <c r="R1198" s="2" t="inlineStr">
        <is>
          <t>Granticka</t>
        </is>
      </c>
      <c r="S1198">
        <f>HYPERLINK("https://klasma.github.io/Logging_2421/artfynd/A 42843-2021 artfynd.xlsx", "A 42843-2021")</f>
        <v/>
      </c>
      <c r="T1198">
        <f>HYPERLINK("https://klasma.github.io/Logging_2421/kartor/A 42843-2021 karta.png", "A 42843-2021")</f>
        <v/>
      </c>
      <c r="V1198">
        <f>HYPERLINK("https://klasma.github.io/Logging_2421/klagomål/A 42843-2021 FSC-klagomål.docx", "A 42843-2021")</f>
        <v/>
      </c>
      <c r="W1198">
        <f>HYPERLINK("https://klasma.github.io/Logging_2421/klagomålsmail/A 42843-2021 FSC-klagomål mail.docx", "A 42843-2021")</f>
        <v/>
      </c>
      <c r="X1198">
        <f>HYPERLINK("https://klasma.github.io/Logging_2421/tillsyn/A 42843-2021 tillsynsbegäran.docx", "A 42843-2021")</f>
        <v/>
      </c>
      <c r="Y1198">
        <f>HYPERLINK("https://klasma.github.io/Logging_2421/tillsynsmail/A 42843-2021 tillsynsbegäran mail.docx", "A 42843-2021")</f>
        <v/>
      </c>
    </row>
    <row r="1199" ht="15" customHeight="1">
      <c r="A1199" t="inlineStr">
        <is>
          <t>A 43050-2021</t>
        </is>
      </c>
      <c r="B1199" s="1" t="n">
        <v>44431</v>
      </c>
      <c r="C1199" s="1" t="n">
        <v>45788</v>
      </c>
      <c r="D1199" t="inlineStr">
        <is>
          <t>VÄSTERBOTTENS LÄN</t>
        </is>
      </c>
      <c r="E1199" t="inlineStr">
        <is>
          <t>NORDMALING</t>
        </is>
      </c>
      <c r="G1199" t="n">
        <v>3</v>
      </c>
      <c r="H1199" t="n">
        <v>0</v>
      </c>
      <c r="I1199" t="n">
        <v>0</v>
      </c>
      <c r="J1199" t="n">
        <v>1</v>
      </c>
      <c r="K1199" t="n">
        <v>0</v>
      </c>
      <c r="L1199" t="n">
        <v>0</v>
      </c>
      <c r="M1199" t="n">
        <v>0</v>
      </c>
      <c r="N1199" t="n">
        <v>0</v>
      </c>
      <c r="O1199" t="n">
        <v>1</v>
      </c>
      <c r="P1199" t="n">
        <v>0</v>
      </c>
      <c r="Q1199" t="n">
        <v>1</v>
      </c>
      <c r="R1199" s="2" t="inlineStr">
        <is>
          <t>Gränsticka</t>
        </is>
      </c>
      <c r="S1199">
        <f>HYPERLINK("https://klasma.github.io/Logging_2401/artfynd/A 43050-2021 artfynd.xlsx", "A 43050-2021")</f>
        <v/>
      </c>
      <c r="T1199">
        <f>HYPERLINK("https://klasma.github.io/Logging_2401/kartor/A 43050-2021 karta.png", "A 43050-2021")</f>
        <v/>
      </c>
      <c r="V1199">
        <f>HYPERLINK("https://klasma.github.io/Logging_2401/klagomål/A 43050-2021 FSC-klagomål.docx", "A 43050-2021")</f>
        <v/>
      </c>
      <c r="W1199">
        <f>HYPERLINK("https://klasma.github.io/Logging_2401/klagomålsmail/A 43050-2021 FSC-klagomål mail.docx", "A 43050-2021")</f>
        <v/>
      </c>
      <c r="X1199">
        <f>HYPERLINK("https://klasma.github.io/Logging_2401/tillsyn/A 43050-2021 tillsynsbegäran.docx", "A 43050-2021")</f>
        <v/>
      </c>
      <c r="Y1199">
        <f>HYPERLINK("https://klasma.github.io/Logging_2401/tillsynsmail/A 43050-2021 tillsynsbegäran mail.docx", "A 43050-2021")</f>
        <v/>
      </c>
    </row>
    <row r="1200" ht="15" customHeight="1">
      <c r="A1200" t="inlineStr">
        <is>
          <t>A 45267-2021</t>
        </is>
      </c>
      <c r="B1200" s="1" t="n">
        <v>44439</v>
      </c>
      <c r="C1200" s="1" t="n">
        <v>45788</v>
      </c>
      <c r="D1200" t="inlineStr">
        <is>
          <t>VÄSTERBOTTENS LÄN</t>
        </is>
      </c>
      <c r="E1200" t="inlineStr">
        <is>
          <t>VINDELN</t>
        </is>
      </c>
      <c r="G1200" t="n">
        <v>1.9</v>
      </c>
      <c r="H1200" t="n">
        <v>0</v>
      </c>
      <c r="I1200" t="n">
        <v>1</v>
      </c>
      <c r="J1200" t="n">
        <v>0</v>
      </c>
      <c r="K1200" t="n">
        <v>0</v>
      </c>
      <c r="L1200" t="n">
        <v>0</v>
      </c>
      <c r="M1200" t="n">
        <v>0</v>
      </c>
      <c r="N1200" t="n">
        <v>0</v>
      </c>
      <c r="O1200" t="n">
        <v>0</v>
      </c>
      <c r="P1200" t="n">
        <v>0</v>
      </c>
      <c r="Q1200" t="n">
        <v>1</v>
      </c>
      <c r="R1200" s="2" t="inlineStr">
        <is>
          <t>Mörk husmossa</t>
        </is>
      </c>
      <c r="S1200">
        <f>HYPERLINK("https://klasma.github.io/Logging_2404/artfynd/A 45267-2021 artfynd.xlsx", "A 45267-2021")</f>
        <v/>
      </c>
      <c r="T1200">
        <f>HYPERLINK("https://klasma.github.io/Logging_2404/kartor/A 45267-2021 karta.png", "A 45267-2021")</f>
        <v/>
      </c>
      <c r="V1200">
        <f>HYPERLINK("https://klasma.github.io/Logging_2404/klagomål/A 45267-2021 FSC-klagomål.docx", "A 45267-2021")</f>
        <v/>
      </c>
      <c r="W1200">
        <f>HYPERLINK("https://klasma.github.io/Logging_2404/klagomålsmail/A 45267-2021 FSC-klagomål mail.docx", "A 45267-2021")</f>
        <v/>
      </c>
      <c r="X1200">
        <f>HYPERLINK("https://klasma.github.io/Logging_2404/tillsyn/A 45267-2021 tillsynsbegäran.docx", "A 45267-2021")</f>
        <v/>
      </c>
      <c r="Y1200">
        <f>HYPERLINK("https://klasma.github.io/Logging_2404/tillsynsmail/A 45267-2021 tillsynsbegäran mail.docx", "A 45267-2021")</f>
        <v/>
      </c>
    </row>
    <row r="1201" ht="15" customHeight="1">
      <c r="A1201" t="inlineStr">
        <is>
          <t>A 45511-2021</t>
        </is>
      </c>
      <c r="B1201" s="1" t="n">
        <v>44440</v>
      </c>
      <c r="C1201" s="1" t="n">
        <v>45788</v>
      </c>
      <c r="D1201" t="inlineStr">
        <is>
          <t>VÄSTERBOTTENS LÄN</t>
        </is>
      </c>
      <c r="E1201" t="inlineStr">
        <is>
          <t>SORSELE</t>
        </is>
      </c>
      <c r="G1201" t="n">
        <v>2.7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HYPERLINK("https://klasma.github.io/Logging_2422/artfynd/A 45511-2021 artfynd.xlsx", "A 45511-2021")</f>
        <v/>
      </c>
      <c r="T1201">
        <f>HYPERLINK("https://klasma.github.io/Logging_2422/kartor/A 45511-2021 karta.png", "A 45511-2021")</f>
        <v/>
      </c>
      <c r="V1201">
        <f>HYPERLINK("https://klasma.github.io/Logging_2422/klagomål/A 45511-2021 FSC-klagomål.docx", "A 45511-2021")</f>
        <v/>
      </c>
      <c r="W1201">
        <f>HYPERLINK("https://klasma.github.io/Logging_2422/klagomålsmail/A 45511-2021 FSC-klagomål mail.docx", "A 45511-2021")</f>
        <v/>
      </c>
      <c r="X1201">
        <f>HYPERLINK("https://klasma.github.io/Logging_2422/tillsyn/A 45511-2021 tillsynsbegäran.docx", "A 45511-2021")</f>
        <v/>
      </c>
      <c r="Y1201">
        <f>HYPERLINK("https://klasma.github.io/Logging_2422/tillsynsmail/A 45511-2021 tillsynsbegäran mail.docx", "A 45511-2021")</f>
        <v/>
      </c>
      <c r="Z1201">
        <f>HYPERLINK("https://klasma.github.io/Logging_2422/fåglar/A 45511-2021 prioriterade fågelarter.docx", "A 45511-2021")</f>
        <v/>
      </c>
    </row>
    <row r="1202" ht="15" customHeight="1">
      <c r="A1202" t="inlineStr">
        <is>
          <t>A 47038-2021</t>
        </is>
      </c>
      <c r="B1202" s="1" t="n">
        <v>44446</v>
      </c>
      <c r="C1202" s="1" t="n">
        <v>45788</v>
      </c>
      <c r="D1202" t="inlineStr">
        <is>
          <t>VÄSTERBOTTENS LÄN</t>
        </is>
      </c>
      <c r="E1202" t="inlineStr">
        <is>
          <t>UMEÅ</t>
        </is>
      </c>
      <c r="G1202" t="n">
        <v>22.3</v>
      </c>
      <c r="H1202" t="n">
        <v>0</v>
      </c>
      <c r="I1202" t="n">
        <v>0</v>
      </c>
      <c r="J1202" t="n">
        <v>1</v>
      </c>
      <c r="K1202" t="n">
        <v>0</v>
      </c>
      <c r="L1202" t="n">
        <v>0</v>
      </c>
      <c r="M1202" t="n">
        <v>0</v>
      </c>
      <c r="N1202" t="n">
        <v>0</v>
      </c>
      <c r="O1202" t="n">
        <v>1</v>
      </c>
      <c r="P1202" t="n">
        <v>0</v>
      </c>
      <c r="Q1202" t="n">
        <v>1</v>
      </c>
      <c r="R1202" s="2" t="inlineStr">
        <is>
          <t>Ullticka</t>
        </is>
      </c>
      <c r="S1202">
        <f>HYPERLINK("https://klasma.github.io/Logging_2480/artfynd/A 47038-2021 artfynd.xlsx", "A 47038-2021")</f>
        <v/>
      </c>
      <c r="T1202">
        <f>HYPERLINK("https://klasma.github.io/Logging_2480/kartor/A 47038-2021 karta.png", "A 47038-2021")</f>
        <v/>
      </c>
      <c r="V1202">
        <f>HYPERLINK("https://klasma.github.io/Logging_2480/klagomål/A 47038-2021 FSC-klagomål.docx", "A 47038-2021")</f>
        <v/>
      </c>
      <c r="W1202">
        <f>HYPERLINK("https://klasma.github.io/Logging_2480/klagomålsmail/A 47038-2021 FSC-klagomål mail.docx", "A 47038-2021")</f>
        <v/>
      </c>
      <c r="X1202">
        <f>HYPERLINK("https://klasma.github.io/Logging_2480/tillsyn/A 47038-2021 tillsynsbegäran.docx", "A 47038-2021")</f>
        <v/>
      </c>
      <c r="Y1202">
        <f>HYPERLINK("https://klasma.github.io/Logging_2480/tillsynsmail/A 47038-2021 tillsynsbegäran mail.docx", "A 47038-2021")</f>
        <v/>
      </c>
    </row>
    <row r="1203" ht="15" customHeight="1">
      <c r="A1203" t="inlineStr">
        <is>
          <t>A 49370-2021</t>
        </is>
      </c>
      <c r="B1203" s="1" t="n">
        <v>44454</v>
      </c>
      <c r="C1203" s="1" t="n">
        <v>45788</v>
      </c>
      <c r="D1203" t="inlineStr">
        <is>
          <t>VÄSTERBOTTENS LÄN</t>
        </is>
      </c>
      <c r="E1203" t="inlineStr">
        <is>
          <t>MALÅ</t>
        </is>
      </c>
      <c r="F1203" t="inlineStr">
        <is>
          <t>Sveaskog</t>
        </is>
      </c>
      <c r="G1203" t="n">
        <v>26.5</v>
      </c>
      <c r="H1203" t="n">
        <v>1</v>
      </c>
      <c r="I1203" t="n">
        <v>0</v>
      </c>
      <c r="J1203" t="n">
        <v>0</v>
      </c>
      <c r="K1203" t="n">
        <v>1</v>
      </c>
      <c r="L1203" t="n">
        <v>0</v>
      </c>
      <c r="M1203" t="n">
        <v>0</v>
      </c>
      <c r="N1203" t="n">
        <v>0</v>
      </c>
      <c r="O1203" t="n">
        <v>1</v>
      </c>
      <c r="P1203" t="n">
        <v>1</v>
      </c>
      <c r="Q1203" t="n">
        <v>1</v>
      </c>
      <c r="R1203" s="2" t="inlineStr">
        <is>
          <t>Norna</t>
        </is>
      </c>
      <c r="S1203">
        <f>HYPERLINK("https://klasma.github.io/Logging_2418/artfynd/A 49370-2021 artfynd.xlsx", "A 49370-2021")</f>
        <v/>
      </c>
      <c r="T1203">
        <f>HYPERLINK("https://klasma.github.io/Logging_2418/kartor/A 49370-2021 karta.png", "A 49370-2021")</f>
        <v/>
      </c>
      <c r="V1203">
        <f>HYPERLINK("https://klasma.github.io/Logging_2418/klagomål/A 49370-2021 FSC-klagomål.docx", "A 49370-2021")</f>
        <v/>
      </c>
      <c r="W1203">
        <f>HYPERLINK("https://klasma.github.io/Logging_2418/klagomålsmail/A 49370-2021 FSC-klagomål mail.docx", "A 49370-2021")</f>
        <v/>
      </c>
      <c r="X1203">
        <f>HYPERLINK("https://klasma.github.io/Logging_2418/tillsyn/A 49370-2021 tillsynsbegäran.docx", "A 49370-2021")</f>
        <v/>
      </c>
      <c r="Y1203">
        <f>HYPERLINK("https://klasma.github.io/Logging_2418/tillsynsmail/A 49370-2021 tillsynsbegäran mail.docx", "A 49370-2021")</f>
        <v/>
      </c>
    </row>
    <row r="1204" ht="15" customHeight="1">
      <c r="A1204" t="inlineStr">
        <is>
          <t>A 49774-2021</t>
        </is>
      </c>
      <c r="B1204" s="1" t="n">
        <v>44455</v>
      </c>
      <c r="C1204" s="1" t="n">
        <v>45788</v>
      </c>
      <c r="D1204" t="inlineStr">
        <is>
          <t>VÄSTERBOTTENS LÄN</t>
        </is>
      </c>
      <c r="E1204" t="inlineStr">
        <is>
          <t>UMEÅ</t>
        </is>
      </c>
      <c r="G1204" t="n">
        <v>1.7</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49774-2021 artfynd.xlsx", "A 49774-2021")</f>
        <v/>
      </c>
      <c r="T1204">
        <f>HYPERLINK("https://klasma.github.io/Logging_2480/kartor/A 49774-2021 karta.png", "A 49774-2021")</f>
        <v/>
      </c>
      <c r="V1204">
        <f>HYPERLINK("https://klasma.github.io/Logging_2480/klagomål/A 49774-2021 FSC-klagomål.docx", "A 49774-2021")</f>
        <v/>
      </c>
      <c r="W1204">
        <f>HYPERLINK("https://klasma.github.io/Logging_2480/klagomålsmail/A 49774-2021 FSC-klagomål mail.docx", "A 49774-2021")</f>
        <v/>
      </c>
      <c r="X1204">
        <f>HYPERLINK("https://klasma.github.io/Logging_2480/tillsyn/A 49774-2021 tillsynsbegäran.docx", "A 49774-2021")</f>
        <v/>
      </c>
      <c r="Y1204">
        <f>HYPERLINK("https://klasma.github.io/Logging_2480/tillsynsmail/A 49774-2021 tillsynsbegäran mail.docx", "A 49774-2021")</f>
        <v/>
      </c>
    </row>
    <row r="1205" ht="15" customHeight="1">
      <c r="A1205" t="inlineStr">
        <is>
          <t>A 49850-2021</t>
        </is>
      </c>
      <c r="B1205" s="1" t="n">
        <v>44455</v>
      </c>
      <c r="C1205" s="1" t="n">
        <v>45788</v>
      </c>
      <c r="D1205" t="inlineStr">
        <is>
          <t>VÄSTERBOTTENS LÄN</t>
        </is>
      </c>
      <c r="E1205" t="inlineStr">
        <is>
          <t>UMEÅ</t>
        </is>
      </c>
      <c r="G1205" t="n">
        <v>3.8</v>
      </c>
      <c r="H1205" t="n">
        <v>0</v>
      </c>
      <c r="I1205" t="n">
        <v>0</v>
      </c>
      <c r="J1205" t="n">
        <v>1</v>
      </c>
      <c r="K1205" t="n">
        <v>0</v>
      </c>
      <c r="L1205" t="n">
        <v>0</v>
      </c>
      <c r="M1205" t="n">
        <v>0</v>
      </c>
      <c r="N1205" t="n">
        <v>0</v>
      </c>
      <c r="O1205" t="n">
        <v>1</v>
      </c>
      <c r="P1205" t="n">
        <v>0</v>
      </c>
      <c r="Q1205" t="n">
        <v>1</v>
      </c>
      <c r="R1205" s="2" t="inlineStr">
        <is>
          <t>Skogshare</t>
        </is>
      </c>
      <c r="S1205">
        <f>HYPERLINK("https://klasma.github.io/Logging_2480/artfynd/A 49850-2021 artfynd.xlsx", "A 49850-2021")</f>
        <v/>
      </c>
      <c r="T1205">
        <f>HYPERLINK("https://klasma.github.io/Logging_2480/kartor/A 49850-2021 karta.png", "A 49850-2021")</f>
        <v/>
      </c>
      <c r="V1205">
        <f>HYPERLINK("https://klasma.github.io/Logging_2480/klagomål/A 49850-2021 FSC-klagomål.docx", "A 49850-2021")</f>
        <v/>
      </c>
      <c r="W1205">
        <f>HYPERLINK("https://klasma.github.io/Logging_2480/klagomålsmail/A 49850-2021 FSC-klagomål mail.docx", "A 49850-2021")</f>
        <v/>
      </c>
      <c r="X1205">
        <f>HYPERLINK("https://klasma.github.io/Logging_2480/tillsyn/A 49850-2021 tillsynsbegäran.docx", "A 49850-2021")</f>
        <v/>
      </c>
      <c r="Y1205">
        <f>HYPERLINK("https://klasma.github.io/Logging_2480/tillsynsmail/A 49850-2021 tillsynsbegäran mail.docx", "A 49850-2021")</f>
        <v/>
      </c>
    </row>
    <row r="1206" ht="15" customHeight="1">
      <c r="A1206" t="inlineStr">
        <is>
          <t>A 51640-2021</t>
        </is>
      </c>
      <c r="B1206" s="1" t="n">
        <v>44462</v>
      </c>
      <c r="C1206" s="1" t="n">
        <v>45788</v>
      </c>
      <c r="D1206" t="inlineStr">
        <is>
          <t>VÄSTERBOTTENS LÄN</t>
        </is>
      </c>
      <c r="E1206" t="inlineStr">
        <is>
          <t>NORSJÖ</t>
        </is>
      </c>
      <c r="F1206" t="inlineStr">
        <is>
          <t>Sveaskog</t>
        </is>
      </c>
      <c r="G1206" t="n">
        <v>7.5</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HYPERLINK("https://klasma.github.io/Logging_2417/artfynd/A 51640-2021 artfynd.xlsx", "A 51640-2021")</f>
        <v/>
      </c>
      <c r="T1206">
        <f>HYPERLINK("https://klasma.github.io/Logging_2417/kartor/A 51640-2021 karta.png", "A 51640-2021")</f>
        <v/>
      </c>
      <c r="V1206">
        <f>HYPERLINK("https://klasma.github.io/Logging_2417/klagomål/A 51640-2021 FSC-klagomål.docx", "A 51640-2021")</f>
        <v/>
      </c>
      <c r="W1206">
        <f>HYPERLINK("https://klasma.github.io/Logging_2417/klagomålsmail/A 51640-2021 FSC-klagomål mail.docx", "A 51640-2021")</f>
        <v/>
      </c>
      <c r="X1206">
        <f>HYPERLINK("https://klasma.github.io/Logging_2417/tillsyn/A 51640-2021 tillsynsbegäran.docx", "A 51640-2021")</f>
        <v/>
      </c>
      <c r="Y1206">
        <f>HYPERLINK("https://klasma.github.io/Logging_2417/tillsynsmail/A 51640-2021 tillsynsbegäran mail.docx", "A 51640-2021")</f>
        <v/>
      </c>
    </row>
    <row r="1207" ht="15" customHeight="1">
      <c r="A1207" t="inlineStr">
        <is>
          <t>A 51723-2021</t>
        </is>
      </c>
      <c r="B1207" s="1" t="n">
        <v>44462</v>
      </c>
      <c r="C1207" s="1" t="n">
        <v>45788</v>
      </c>
      <c r="D1207" t="inlineStr">
        <is>
          <t>VÄSTERBOTTENS LÄN</t>
        </is>
      </c>
      <c r="E1207" t="inlineStr">
        <is>
          <t>BJURHOLM</t>
        </is>
      </c>
      <c r="F1207" t="inlineStr">
        <is>
          <t>Sveaskog</t>
        </is>
      </c>
      <c r="G1207" t="n">
        <v>14.1</v>
      </c>
      <c r="H1207" t="n">
        <v>0</v>
      </c>
      <c r="I1207" t="n">
        <v>0</v>
      </c>
      <c r="J1207" t="n">
        <v>1</v>
      </c>
      <c r="K1207" t="n">
        <v>0</v>
      </c>
      <c r="L1207" t="n">
        <v>0</v>
      </c>
      <c r="M1207" t="n">
        <v>0</v>
      </c>
      <c r="N1207" t="n">
        <v>0</v>
      </c>
      <c r="O1207" t="n">
        <v>1</v>
      </c>
      <c r="P1207" t="n">
        <v>0</v>
      </c>
      <c r="Q1207" t="n">
        <v>1</v>
      </c>
      <c r="R1207" s="2" t="inlineStr">
        <is>
          <t>Vaddporing</t>
        </is>
      </c>
      <c r="S1207">
        <f>HYPERLINK("https://klasma.github.io/Logging_2403/artfynd/A 51723-2021 artfynd.xlsx", "A 51723-2021")</f>
        <v/>
      </c>
      <c r="T1207">
        <f>HYPERLINK("https://klasma.github.io/Logging_2403/kartor/A 51723-2021 karta.png", "A 51723-2021")</f>
        <v/>
      </c>
      <c r="V1207">
        <f>HYPERLINK("https://klasma.github.io/Logging_2403/klagomål/A 51723-2021 FSC-klagomål.docx", "A 51723-2021")</f>
        <v/>
      </c>
      <c r="W1207">
        <f>HYPERLINK("https://klasma.github.io/Logging_2403/klagomålsmail/A 51723-2021 FSC-klagomål mail.docx", "A 51723-2021")</f>
        <v/>
      </c>
      <c r="X1207">
        <f>HYPERLINK("https://klasma.github.io/Logging_2403/tillsyn/A 51723-2021 tillsynsbegäran.docx", "A 51723-2021")</f>
        <v/>
      </c>
      <c r="Y1207">
        <f>HYPERLINK("https://klasma.github.io/Logging_2403/tillsynsmail/A 51723-2021 tillsynsbegäran mail.docx", "A 51723-2021")</f>
        <v/>
      </c>
    </row>
    <row r="1208" ht="15" customHeight="1">
      <c r="A1208" t="inlineStr">
        <is>
          <t>A 54142-2021</t>
        </is>
      </c>
      <c r="B1208" s="1" t="n">
        <v>44470</v>
      </c>
      <c r="C1208" s="1" t="n">
        <v>45788</v>
      </c>
      <c r="D1208" t="inlineStr">
        <is>
          <t>VÄSTERBOTTENS LÄN</t>
        </is>
      </c>
      <c r="E1208" t="inlineStr">
        <is>
          <t>LYCKSELE</t>
        </is>
      </c>
      <c r="F1208" t="inlineStr">
        <is>
          <t>Sveaskog</t>
        </is>
      </c>
      <c r="G1208" t="n">
        <v>15.5</v>
      </c>
      <c r="H1208" t="n">
        <v>0</v>
      </c>
      <c r="I1208" t="n">
        <v>0</v>
      </c>
      <c r="J1208" t="n">
        <v>1</v>
      </c>
      <c r="K1208" t="n">
        <v>0</v>
      </c>
      <c r="L1208" t="n">
        <v>0</v>
      </c>
      <c r="M1208" t="n">
        <v>0</v>
      </c>
      <c r="N1208" t="n">
        <v>0</v>
      </c>
      <c r="O1208" t="n">
        <v>1</v>
      </c>
      <c r="P1208" t="n">
        <v>0</v>
      </c>
      <c r="Q1208" t="n">
        <v>1</v>
      </c>
      <c r="R1208" s="2" t="inlineStr">
        <is>
          <t>Garnlav</t>
        </is>
      </c>
      <c r="S1208">
        <f>HYPERLINK("https://klasma.github.io/Logging_2481/artfynd/A 54142-2021 artfynd.xlsx", "A 54142-2021")</f>
        <v/>
      </c>
      <c r="T1208">
        <f>HYPERLINK("https://klasma.github.io/Logging_2481/kartor/A 54142-2021 karta.png", "A 54142-2021")</f>
        <v/>
      </c>
      <c r="U1208">
        <f>HYPERLINK("https://klasma.github.io/Logging_2481/knärot/A 54142-2021 karta knärot.png", "A 54142-2021")</f>
        <v/>
      </c>
      <c r="V1208">
        <f>HYPERLINK("https://klasma.github.io/Logging_2481/klagomål/A 54142-2021 FSC-klagomål.docx", "A 54142-2021")</f>
        <v/>
      </c>
      <c r="W1208">
        <f>HYPERLINK("https://klasma.github.io/Logging_2481/klagomålsmail/A 54142-2021 FSC-klagomål mail.docx", "A 54142-2021")</f>
        <v/>
      </c>
      <c r="X1208">
        <f>HYPERLINK("https://klasma.github.io/Logging_2481/tillsyn/A 54142-2021 tillsynsbegäran.docx", "A 54142-2021")</f>
        <v/>
      </c>
      <c r="Y1208">
        <f>HYPERLINK("https://klasma.github.io/Logging_2481/tillsynsmail/A 54142-2021 tillsynsbegäran mail.docx", "A 54142-2021")</f>
        <v/>
      </c>
    </row>
    <row r="1209" ht="15" customHeight="1">
      <c r="A1209" t="inlineStr">
        <is>
          <t>A 55739-2021</t>
        </is>
      </c>
      <c r="B1209" s="1" t="n">
        <v>44476</v>
      </c>
      <c r="C1209" s="1" t="n">
        <v>45788</v>
      </c>
      <c r="D1209" t="inlineStr">
        <is>
          <t>VÄSTERBOTTENS LÄN</t>
        </is>
      </c>
      <c r="E1209" t="inlineStr">
        <is>
          <t>VILHELMINA</t>
        </is>
      </c>
      <c r="G1209" t="n">
        <v>5.5</v>
      </c>
      <c r="H1209" t="n">
        <v>0</v>
      </c>
      <c r="I1209" t="n">
        <v>0</v>
      </c>
      <c r="J1209" t="n">
        <v>1</v>
      </c>
      <c r="K1209" t="n">
        <v>0</v>
      </c>
      <c r="L1209" t="n">
        <v>0</v>
      </c>
      <c r="M1209" t="n">
        <v>0</v>
      </c>
      <c r="N1209" t="n">
        <v>0</v>
      </c>
      <c r="O1209" t="n">
        <v>1</v>
      </c>
      <c r="P1209" t="n">
        <v>0</v>
      </c>
      <c r="Q1209" t="n">
        <v>1</v>
      </c>
      <c r="R1209" s="2" t="inlineStr">
        <is>
          <t>Garnlav</t>
        </is>
      </c>
      <c r="S1209">
        <f>HYPERLINK("https://klasma.github.io/Logging_2462/artfynd/A 55739-2021 artfynd.xlsx", "A 55739-2021")</f>
        <v/>
      </c>
      <c r="T1209">
        <f>HYPERLINK("https://klasma.github.io/Logging_2462/kartor/A 55739-2021 karta.png", "A 55739-2021")</f>
        <v/>
      </c>
      <c r="V1209">
        <f>HYPERLINK("https://klasma.github.io/Logging_2462/klagomål/A 55739-2021 FSC-klagomål.docx", "A 55739-2021")</f>
        <v/>
      </c>
      <c r="W1209">
        <f>HYPERLINK("https://klasma.github.io/Logging_2462/klagomålsmail/A 55739-2021 FSC-klagomål mail.docx", "A 55739-2021")</f>
        <v/>
      </c>
      <c r="X1209">
        <f>HYPERLINK("https://klasma.github.io/Logging_2462/tillsyn/A 55739-2021 tillsynsbegäran.docx", "A 55739-2021")</f>
        <v/>
      </c>
      <c r="Y1209">
        <f>HYPERLINK("https://klasma.github.io/Logging_2462/tillsynsmail/A 55739-2021 tillsynsbegäran mail.docx", "A 55739-2021")</f>
        <v/>
      </c>
    </row>
    <row r="1210" ht="15" customHeight="1">
      <c r="A1210" t="inlineStr">
        <is>
          <t>A 57484-2021</t>
        </is>
      </c>
      <c r="B1210" s="1" t="n">
        <v>44483</v>
      </c>
      <c r="C1210" s="1" t="n">
        <v>45788</v>
      </c>
      <c r="D1210" t="inlineStr">
        <is>
          <t>VÄSTERBOTTENS LÄN</t>
        </is>
      </c>
      <c r="E1210" t="inlineStr">
        <is>
          <t>VINDELN</t>
        </is>
      </c>
      <c r="F1210" t="inlineStr">
        <is>
          <t>Holmen skog AB</t>
        </is>
      </c>
      <c r="G1210" t="n">
        <v>5.8</v>
      </c>
      <c r="H1210" t="n">
        <v>0</v>
      </c>
      <c r="I1210" t="n">
        <v>0</v>
      </c>
      <c r="J1210" t="n">
        <v>1</v>
      </c>
      <c r="K1210" t="n">
        <v>0</v>
      </c>
      <c r="L1210" t="n">
        <v>0</v>
      </c>
      <c r="M1210" t="n">
        <v>0</v>
      </c>
      <c r="N1210" t="n">
        <v>0</v>
      </c>
      <c r="O1210" t="n">
        <v>1</v>
      </c>
      <c r="P1210" t="n">
        <v>0</v>
      </c>
      <c r="Q1210" t="n">
        <v>1</v>
      </c>
      <c r="R1210" s="2" t="inlineStr">
        <is>
          <t>Granticka</t>
        </is>
      </c>
      <c r="S1210">
        <f>HYPERLINK("https://klasma.github.io/Logging_2404/artfynd/A 57484-2021 artfynd.xlsx", "A 57484-2021")</f>
        <v/>
      </c>
      <c r="T1210">
        <f>HYPERLINK("https://klasma.github.io/Logging_2404/kartor/A 57484-2021 karta.png", "A 57484-2021")</f>
        <v/>
      </c>
      <c r="V1210">
        <f>HYPERLINK("https://klasma.github.io/Logging_2404/klagomål/A 57484-2021 FSC-klagomål.docx", "A 57484-2021")</f>
        <v/>
      </c>
      <c r="W1210">
        <f>HYPERLINK("https://klasma.github.io/Logging_2404/klagomålsmail/A 57484-2021 FSC-klagomål mail.docx", "A 57484-2021")</f>
        <v/>
      </c>
      <c r="X1210">
        <f>HYPERLINK("https://klasma.github.io/Logging_2404/tillsyn/A 57484-2021 tillsynsbegäran.docx", "A 57484-2021")</f>
        <v/>
      </c>
      <c r="Y1210">
        <f>HYPERLINK("https://klasma.github.io/Logging_2404/tillsynsmail/A 57484-2021 tillsynsbegäran mail.docx", "A 57484-2021")</f>
        <v/>
      </c>
    </row>
    <row r="1211" ht="15" customHeight="1">
      <c r="A1211" t="inlineStr">
        <is>
          <t>A 57865-2021</t>
        </is>
      </c>
      <c r="B1211" s="1" t="n">
        <v>44484</v>
      </c>
      <c r="C1211" s="1" t="n">
        <v>45788</v>
      </c>
      <c r="D1211" t="inlineStr">
        <is>
          <t>VÄSTERBOTTENS LÄN</t>
        </is>
      </c>
      <c r="E1211" t="inlineStr">
        <is>
          <t>BJURHOLM</t>
        </is>
      </c>
      <c r="F1211" t="inlineStr">
        <is>
          <t>SCA</t>
        </is>
      </c>
      <c r="G1211" t="n">
        <v>2.6</v>
      </c>
      <c r="H1211" t="n">
        <v>0</v>
      </c>
      <c r="I1211" t="n">
        <v>1</v>
      </c>
      <c r="J1211" t="n">
        <v>0</v>
      </c>
      <c r="K1211" t="n">
        <v>0</v>
      </c>
      <c r="L1211" t="n">
        <v>0</v>
      </c>
      <c r="M1211" t="n">
        <v>0</v>
      </c>
      <c r="N1211" t="n">
        <v>0</v>
      </c>
      <c r="O1211" t="n">
        <v>0</v>
      </c>
      <c r="P1211" t="n">
        <v>0</v>
      </c>
      <c r="Q1211" t="n">
        <v>1</v>
      </c>
      <c r="R1211" s="2" t="inlineStr">
        <is>
          <t>Stor aspticka</t>
        </is>
      </c>
      <c r="S1211">
        <f>HYPERLINK("https://klasma.github.io/Logging_2403/artfynd/A 57865-2021 artfynd.xlsx", "A 57865-2021")</f>
        <v/>
      </c>
      <c r="T1211">
        <f>HYPERLINK("https://klasma.github.io/Logging_2403/kartor/A 57865-2021 karta.png", "A 57865-2021")</f>
        <v/>
      </c>
      <c r="V1211">
        <f>HYPERLINK("https://klasma.github.io/Logging_2403/klagomål/A 57865-2021 FSC-klagomål.docx", "A 57865-2021")</f>
        <v/>
      </c>
      <c r="W1211">
        <f>HYPERLINK("https://klasma.github.io/Logging_2403/klagomålsmail/A 57865-2021 FSC-klagomål mail.docx", "A 57865-2021")</f>
        <v/>
      </c>
      <c r="X1211">
        <f>HYPERLINK("https://klasma.github.io/Logging_2403/tillsyn/A 57865-2021 tillsynsbegäran.docx", "A 57865-2021")</f>
        <v/>
      </c>
      <c r="Y1211">
        <f>HYPERLINK("https://klasma.github.io/Logging_2403/tillsynsmail/A 57865-2021 tillsynsbegäran mail.docx", "A 57865-2021")</f>
        <v/>
      </c>
    </row>
    <row r="1212" ht="15" customHeight="1">
      <c r="A1212" t="inlineStr">
        <is>
          <t>A 58766-2021</t>
        </is>
      </c>
      <c r="B1212" s="1" t="n">
        <v>44489</v>
      </c>
      <c r="C1212" s="1" t="n">
        <v>45788</v>
      </c>
      <c r="D1212" t="inlineStr">
        <is>
          <t>VÄSTERBOTTENS LÄN</t>
        </is>
      </c>
      <c r="E1212" t="inlineStr">
        <is>
          <t>SKELLEFTEÅ</t>
        </is>
      </c>
      <c r="G1212" t="n">
        <v>5.5</v>
      </c>
      <c r="H1212" t="n">
        <v>0</v>
      </c>
      <c r="I1212" t="n">
        <v>0</v>
      </c>
      <c r="J1212" t="n">
        <v>1</v>
      </c>
      <c r="K1212" t="n">
        <v>0</v>
      </c>
      <c r="L1212" t="n">
        <v>0</v>
      </c>
      <c r="M1212" t="n">
        <v>0</v>
      </c>
      <c r="N1212" t="n">
        <v>0</v>
      </c>
      <c r="O1212" t="n">
        <v>1</v>
      </c>
      <c r="P1212" t="n">
        <v>0</v>
      </c>
      <c r="Q1212" t="n">
        <v>1</v>
      </c>
      <c r="R1212" s="2" t="inlineStr">
        <is>
          <t>Stjärntagging</t>
        </is>
      </c>
      <c r="S1212">
        <f>HYPERLINK("https://klasma.github.io/Logging_2482/artfynd/A 58766-2021 artfynd.xlsx", "A 58766-2021")</f>
        <v/>
      </c>
      <c r="T1212">
        <f>HYPERLINK("https://klasma.github.io/Logging_2482/kartor/A 58766-2021 karta.png", "A 58766-2021")</f>
        <v/>
      </c>
      <c r="V1212">
        <f>HYPERLINK("https://klasma.github.io/Logging_2482/klagomål/A 58766-2021 FSC-klagomål.docx", "A 58766-2021")</f>
        <v/>
      </c>
      <c r="W1212">
        <f>HYPERLINK("https://klasma.github.io/Logging_2482/klagomålsmail/A 58766-2021 FSC-klagomål mail.docx", "A 58766-2021")</f>
        <v/>
      </c>
      <c r="X1212">
        <f>HYPERLINK("https://klasma.github.io/Logging_2482/tillsyn/A 58766-2021 tillsynsbegäran.docx", "A 58766-2021")</f>
        <v/>
      </c>
      <c r="Y1212">
        <f>HYPERLINK("https://klasma.github.io/Logging_2482/tillsynsmail/A 58766-2021 tillsynsbegäran mail.docx", "A 58766-2021")</f>
        <v/>
      </c>
    </row>
    <row r="1213" ht="15" customHeight="1">
      <c r="A1213" t="inlineStr">
        <is>
          <t>A 59780-2021</t>
        </is>
      </c>
      <c r="B1213" s="1" t="n">
        <v>44494</v>
      </c>
      <c r="C1213" s="1" t="n">
        <v>45788</v>
      </c>
      <c r="D1213" t="inlineStr">
        <is>
          <t>VÄSTERBOTTENS LÄN</t>
        </is>
      </c>
      <c r="E1213" t="inlineStr">
        <is>
          <t>LYCKSELE</t>
        </is>
      </c>
      <c r="F1213" t="inlineStr">
        <is>
          <t>Sveaskog</t>
        </is>
      </c>
      <c r="G1213" t="n">
        <v>5</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59780-2021 artfynd.xlsx", "A 59780-2021")</f>
        <v/>
      </c>
      <c r="T1213">
        <f>HYPERLINK("https://klasma.github.io/Logging_2481/kartor/A 59780-2021 karta.png", "A 59780-2021")</f>
        <v/>
      </c>
      <c r="V1213">
        <f>HYPERLINK("https://klasma.github.io/Logging_2481/klagomål/A 59780-2021 FSC-klagomål.docx", "A 59780-2021")</f>
        <v/>
      </c>
      <c r="W1213">
        <f>HYPERLINK("https://klasma.github.io/Logging_2481/klagomålsmail/A 59780-2021 FSC-klagomål mail.docx", "A 59780-2021")</f>
        <v/>
      </c>
      <c r="X1213">
        <f>HYPERLINK("https://klasma.github.io/Logging_2481/tillsyn/A 59780-2021 tillsynsbegäran.docx", "A 59780-2021")</f>
        <v/>
      </c>
      <c r="Y1213">
        <f>HYPERLINK("https://klasma.github.io/Logging_2481/tillsynsmail/A 59780-2021 tillsynsbegäran mail.docx", "A 59780-2021")</f>
        <v/>
      </c>
    </row>
    <row r="1214" ht="15" customHeight="1">
      <c r="A1214" t="inlineStr">
        <is>
          <t>A 60369-2021</t>
        </is>
      </c>
      <c r="B1214" s="1" t="n">
        <v>44494</v>
      </c>
      <c r="C1214" s="1" t="n">
        <v>45788</v>
      </c>
      <c r="D1214" t="inlineStr">
        <is>
          <t>VÄSTERBOTTENS LÄN</t>
        </is>
      </c>
      <c r="E1214" t="inlineStr">
        <is>
          <t>VILHELMINA</t>
        </is>
      </c>
      <c r="G1214" t="n">
        <v>0.6</v>
      </c>
      <c r="H1214" t="n">
        <v>0</v>
      </c>
      <c r="I1214" t="n">
        <v>1</v>
      </c>
      <c r="J1214" t="n">
        <v>0</v>
      </c>
      <c r="K1214" t="n">
        <v>0</v>
      </c>
      <c r="L1214" t="n">
        <v>0</v>
      </c>
      <c r="M1214" t="n">
        <v>0</v>
      </c>
      <c r="N1214" t="n">
        <v>0</v>
      </c>
      <c r="O1214" t="n">
        <v>0</v>
      </c>
      <c r="P1214" t="n">
        <v>0</v>
      </c>
      <c r="Q1214" t="n">
        <v>1</v>
      </c>
      <c r="R1214" s="2" t="inlineStr">
        <is>
          <t>Stuplav</t>
        </is>
      </c>
      <c r="S1214">
        <f>HYPERLINK("https://klasma.github.io/Logging_2462/artfynd/A 60369-2021 artfynd.xlsx", "A 60369-2021")</f>
        <v/>
      </c>
      <c r="T1214">
        <f>HYPERLINK("https://klasma.github.io/Logging_2462/kartor/A 60369-2021 karta.png", "A 60369-2021")</f>
        <v/>
      </c>
      <c r="V1214">
        <f>HYPERLINK("https://klasma.github.io/Logging_2462/klagomål/A 60369-2021 FSC-klagomål.docx", "A 60369-2021")</f>
        <v/>
      </c>
      <c r="W1214">
        <f>HYPERLINK("https://klasma.github.io/Logging_2462/klagomålsmail/A 60369-2021 FSC-klagomål mail.docx", "A 60369-2021")</f>
        <v/>
      </c>
      <c r="X1214">
        <f>HYPERLINK("https://klasma.github.io/Logging_2462/tillsyn/A 60369-2021 tillsynsbegäran.docx", "A 60369-2021")</f>
        <v/>
      </c>
      <c r="Y1214">
        <f>HYPERLINK("https://klasma.github.io/Logging_2462/tillsynsmail/A 60369-2021 tillsynsbegäran mail.docx", "A 60369-2021")</f>
        <v/>
      </c>
    </row>
    <row r="1215" ht="15" customHeight="1">
      <c r="A1215" t="inlineStr">
        <is>
          <t>A 60045-2021</t>
        </is>
      </c>
      <c r="B1215" s="1" t="n">
        <v>44495</v>
      </c>
      <c r="C1215" s="1" t="n">
        <v>45788</v>
      </c>
      <c r="D1215" t="inlineStr">
        <is>
          <t>VÄSTERBOTTENS LÄN</t>
        </is>
      </c>
      <c r="E1215" t="inlineStr">
        <is>
          <t>LYCKSELE</t>
        </is>
      </c>
      <c r="F1215" t="inlineStr">
        <is>
          <t>Sveaskog</t>
        </is>
      </c>
      <c r="G1215" t="n">
        <v>0.6</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60045-2021 artfynd.xlsx", "A 60045-2021")</f>
        <v/>
      </c>
      <c r="T1215">
        <f>HYPERLINK("https://klasma.github.io/Logging_2481/kartor/A 60045-2021 karta.png", "A 60045-2021")</f>
        <v/>
      </c>
      <c r="V1215">
        <f>HYPERLINK("https://klasma.github.io/Logging_2481/klagomål/A 60045-2021 FSC-klagomål.docx", "A 60045-2021")</f>
        <v/>
      </c>
      <c r="W1215">
        <f>HYPERLINK("https://klasma.github.io/Logging_2481/klagomålsmail/A 60045-2021 FSC-klagomål mail.docx", "A 60045-2021")</f>
        <v/>
      </c>
      <c r="X1215">
        <f>HYPERLINK("https://klasma.github.io/Logging_2481/tillsyn/A 60045-2021 tillsynsbegäran.docx", "A 60045-2021")</f>
        <v/>
      </c>
      <c r="Y1215">
        <f>HYPERLINK("https://klasma.github.io/Logging_2481/tillsynsmail/A 60045-2021 tillsynsbegäran mail.docx", "A 60045-2021")</f>
        <v/>
      </c>
    </row>
    <row r="1216" ht="15" customHeight="1">
      <c r="A1216" t="inlineStr">
        <is>
          <t>A 60309-2021</t>
        </is>
      </c>
      <c r="B1216" s="1" t="n">
        <v>44495</v>
      </c>
      <c r="C1216" s="1" t="n">
        <v>45788</v>
      </c>
      <c r="D1216" t="inlineStr">
        <is>
          <t>VÄSTERBOTTENS LÄN</t>
        </is>
      </c>
      <c r="E1216" t="inlineStr">
        <is>
          <t>NORDMALING</t>
        </is>
      </c>
      <c r="F1216" t="inlineStr">
        <is>
          <t>SCA</t>
        </is>
      </c>
      <c r="G1216" t="n">
        <v>1.5</v>
      </c>
      <c r="H1216" t="n">
        <v>0</v>
      </c>
      <c r="I1216" t="n">
        <v>0</v>
      </c>
      <c r="J1216" t="n">
        <v>1</v>
      </c>
      <c r="K1216" t="n">
        <v>0</v>
      </c>
      <c r="L1216" t="n">
        <v>0</v>
      </c>
      <c r="M1216" t="n">
        <v>0</v>
      </c>
      <c r="N1216" t="n">
        <v>0</v>
      </c>
      <c r="O1216" t="n">
        <v>1</v>
      </c>
      <c r="P1216" t="n">
        <v>0</v>
      </c>
      <c r="Q1216" t="n">
        <v>1</v>
      </c>
      <c r="R1216" s="2" t="inlineStr">
        <is>
          <t>Gränsticka</t>
        </is>
      </c>
      <c r="S1216">
        <f>HYPERLINK("https://klasma.github.io/Logging_2401/artfynd/A 60309-2021 artfynd.xlsx", "A 60309-2021")</f>
        <v/>
      </c>
      <c r="T1216">
        <f>HYPERLINK("https://klasma.github.io/Logging_2401/kartor/A 60309-2021 karta.png", "A 60309-2021")</f>
        <v/>
      </c>
      <c r="V1216">
        <f>HYPERLINK("https://klasma.github.io/Logging_2401/klagomål/A 60309-2021 FSC-klagomål.docx", "A 60309-2021")</f>
        <v/>
      </c>
      <c r="W1216">
        <f>HYPERLINK("https://klasma.github.io/Logging_2401/klagomålsmail/A 60309-2021 FSC-klagomål mail.docx", "A 60309-2021")</f>
        <v/>
      </c>
      <c r="X1216">
        <f>HYPERLINK("https://klasma.github.io/Logging_2401/tillsyn/A 60309-2021 tillsynsbegäran.docx", "A 60309-2021")</f>
        <v/>
      </c>
      <c r="Y1216">
        <f>HYPERLINK("https://klasma.github.io/Logging_2401/tillsynsmail/A 60309-2021 tillsynsbegäran mail.docx", "A 60309-2021")</f>
        <v/>
      </c>
    </row>
    <row r="1217" ht="15" customHeight="1">
      <c r="A1217" t="inlineStr">
        <is>
          <t>A 60310-2021</t>
        </is>
      </c>
      <c r="B1217" s="1" t="n">
        <v>44495</v>
      </c>
      <c r="C1217" s="1" t="n">
        <v>45788</v>
      </c>
      <c r="D1217" t="inlineStr">
        <is>
          <t>VÄSTERBOTTENS LÄN</t>
        </is>
      </c>
      <c r="E1217" t="inlineStr">
        <is>
          <t>NORDMALING</t>
        </is>
      </c>
      <c r="F1217" t="inlineStr">
        <is>
          <t>SCA</t>
        </is>
      </c>
      <c r="G1217" t="n">
        <v>1.2</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HYPERLINK("https://klasma.github.io/Logging_2401/artfynd/A 60310-2021 artfynd.xlsx", "A 60310-2021")</f>
        <v/>
      </c>
      <c r="T1217">
        <f>HYPERLINK("https://klasma.github.io/Logging_2401/kartor/A 60310-2021 karta.png", "A 60310-2021")</f>
        <v/>
      </c>
      <c r="V1217">
        <f>HYPERLINK("https://klasma.github.io/Logging_2401/klagomål/A 60310-2021 FSC-klagomål.docx", "A 60310-2021")</f>
        <v/>
      </c>
      <c r="W1217">
        <f>HYPERLINK("https://klasma.github.io/Logging_2401/klagomålsmail/A 60310-2021 FSC-klagomål mail.docx", "A 60310-2021")</f>
        <v/>
      </c>
      <c r="X1217">
        <f>HYPERLINK("https://klasma.github.io/Logging_2401/tillsyn/A 60310-2021 tillsynsbegäran.docx", "A 60310-2021")</f>
        <v/>
      </c>
      <c r="Y1217">
        <f>HYPERLINK("https://klasma.github.io/Logging_2401/tillsynsmail/A 60310-2021 tillsynsbegäran mail.docx", "A 60310-2021")</f>
        <v/>
      </c>
    </row>
    <row r="1218" ht="15" customHeight="1">
      <c r="A1218" t="inlineStr">
        <is>
          <t>A 60651-2021</t>
        </is>
      </c>
      <c r="B1218" s="1" t="n">
        <v>44496</v>
      </c>
      <c r="C1218" s="1" t="n">
        <v>45788</v>
      </c>
      <c r="D1218" t="inlineStr">
        <is>
          <t>VÄSTERBOTTENS LÄN</t>
        </is>
      </c>
      <c r="E1218" t="inlineStr">
        <is>
          <t>VINDELN</t>
        </is>
      </c>
      <c r="F1218" t="inlineStr">
        <is>
          <t>Sveaskog</t>
        </is>
      </c>
      <c r="G1218" t="n">
        <v>3.7</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60651-2021 artfynd.xlsx", "A 60651-2021")</f>
        <v/>
      </c>
      <c r="T1218">
        <f>HYPERLINK("https://klasma.github.io/Logging_2404/kartor/A 60651-2021 karta.png", "A 60651-2021")</f>
        <v/>
      </c>
      <c r="V1218">
        <f>HYPERLINK("https://klasma.github.io/Logging_2404/klagomål/A 60651-2021 FSC-klagomål.docx", "A 60651-2021")</f>
        <v/>
      </c>
      <c r="W1218">
        <f>HYPERLINK("https://klasma.github.io/Logging_2404/klagomålsmail/A 60651-2021 FSC-klagomål mail.docx", "A 60651-2021")</f>
        <v/>
      </c>
      <c r="X1218">
        <f>HYPERLINK("https://klasma.github.io/Logging_2404/tillsyn/A 60651-2021 tillsynsbegäran.docx", "A 60651-2021")</f>
        <v/>
      </c>
      <c r="Y1218">
        <f>HYPERLINK("https://klasma.github.io/Logging_2404/tillsynsmail/A 60651-2021 tillsynsbegäran mail.docx", "A 60651-2021")</f>
        <v/>
      </c>
    </row>
    <row r="1219" ht="15" customHeight="1">
      <c r="A1219" t="inlineStr">
        <is>
          <t>A 60833-2021</t>
        </is>
      </c>
      <c r="B1219" s="1" t="n">
        <v>44497</v>
      </c>
      <c r="C1219" s="1" t="n">
        <v>45788</v>
      </c>
      <c r="D1219" t="inlineStr">
        <is>
          <t>VÄSTERBOTTENS LÄN</t>
        </is>
      </c>
      <c r="E1219" t="inlineStr">
        <is>
          <t>ROBERTSFORS</t>
        </is>
      </c>
      <c r="G1219" t="n">
        <v>1.9</v>
      </c>
      <c r="H1219" t="n">
        <v>0</v>
      </c>
      <c r="I1219" t="n">
        <v>1</v>
      </c>
      <c r="J1219" t="n">
        <v>0</v>
      </c>
      <c r="K1219" t="n">
        <v>0</v>
      </c>
      <c r="L1219" t="n">
        <v>0</v>
      </c>
      <c r="M1219" t="n">
        <v>0</v>
      </c>
      <c r="N1219" t="n">
        <v>0</v>
      </c>
      <c r="O1219" t="n">
        <v>0</v>
      </c>
      <c r="P1219" t="n">
        <v>0</v>
      </c>
      <c r="Q1219" t="n">
        <v>1</v>
      </c>
      <c r="R1219" s="2" t="inlineStr">
        <is>
          <t>Stuplav</t>
        </is>
      </c>
      <c r="S1219">
        <f>HYPERLINK("https://klasma.github.io/Logging_2409/artfynd/A 60833-2021 artfynd.xlsx", "A 60833-2021")</f>
        <v/>
      </c>
      <c r="T1219">
        <f>HYPERLINK("https://klasma.github.io/Logging_2409/kartor/A 60833-2021 karta.png", "A 60833-2021")</f>
        <v/>
      </c>
      <c r="V1219">
        <f>HYPERLINK("https://klasma.github.io/Logging_2409/klagomål/A 60833-2021 FSC-klagomål.docx", "A 60833-2021")</f>
        <v/>
      </c>
      <c r="W1219">
        <f>HYPERLINK("https://klasma.github.io/Logging_2409/klagomålsmail/A 60833-2021 FSC-klagomål mail.docx", "A 60833-2021")</f>
        <v/>
      </c>
      <c r="X1219">
        <f>HYPERLINK("https://klasma.github.io/Logging_2409/tillsyn/A 60833-2021 tillsynsbegäran.docx", "A 60833-2021")</f>
        <v/>
      </c>
      <c r="Y1219">
        <f>HYPERLINK("https://klasma.github.io/Logging_2409/tillsynsmail/A 60833-2021 tillsynsbegäran mail.docx", "A 60833-2021")</f>
        <v/>
      </c>
    </row>
    <row r="1220" ht="15" customHeight="1">
      <c r="A1220" t="inlineStr">
        <is>
          <t>A 61658-2021</t>
        </is>
      </c>
      <c r="B1220" s="1" t="n">
        <v>44501</v>
      </c>
      <c r="C1220" s="1" t="n">
        <v>45788</v>
      </c>
      <c r="D1220" t="inlineStr">
        <is>
          <t>VÄSTERBOTTENS LÄN</t>
        </is>
      </c>
      <c r="E1220" t="inlineStr">
        <is>
          <t>SKELLEFTEÅ</t>
        </is>
      </c>
      <c r="F1220" t="inlineStr">
        <is>
          <t>Sveaskog</t>
        </is>
      </c>
      <c r="G1220" t="n">
        <v>16.3</v>
      </c>
      <c r="H1220" t="n">
        <v>1</v>
      </c>
      <c r="I1220" t="n">
        <v>0</v>
      </c>
      <c r="J1220" t="n">
        <v>0</v>
      </c>
      <c r="K1220" t="n">
        <v>0</v>
      </c>
      <c r="L1220" t="n">
        <v>0</v>
      </c>
      <c r="M1220" t="n">
        <v>0</v>
      </c>
      <c r="N1220" t="n">
        <v>0</v>
      </c>
      <c r="O1220" t="n">
        <v>0</v>
      </c>
      <c r="P1220" t="n">
        <v>0</v>
      </c>
      <c r="Q1220" t="n">
        <v>1</v>
      </c>
      <c r="R1220" s="2" t="inlineStr">
        <is>
          <t>Revlummer</t>
        </is>
      </c>
      <c r="S1220">
        <f>HYPERLINK("https://klasma.github.io/Logging_2482/artfynd/A 61658-2021 artfynd.xlsx", "A 61658-2021")</f>
        <v/>
      </c>
      <c r="T1220">
        <f>HYPERLINK("https://klasma.github.io/Logging_2482/kartor/A 61658-2021 karta.png", "A 61658-2021")</f>
        <v/>
      </c>
      <c r="V1220">
        <f>HYPERLINK("https://klasma.github.io/Logging_2482/klagomål/A 61658-2021 FSC-klagomål.docx", "A 61658-2021")</f>
        <v/>
      </c>
      <c r="W1220">
        <f>HYPERLINK("https://klasma.github.io/Logging_2482/klagomålsmail/A 61658-2021 FSC-klagomål mail.docx", "A 61658-2021")</f>
        <v/>
      </c>
      <c r="X1220">
        <f>HYPERLINK("https://klasma.github.io/Logging_2482/tillsyn/A 61658-2021 tillsynsbegäran.docx", "A 61658-2021")</f>
        <v/>
      </c>
      <c r="Y1220">
        <f>HYPERLINK("https://klasma.github.io/Logging_2482/tillsynsmail/A 61658-2021 tillsynsbegäran mail.docx", "A 61658-2021")</f>
        <v/>
      </c>
    </row>
    <row r="1221" ht="15" customHeight="1">
      <c r="A1221" t="inlineStr">
        <is>
          <t>A 61850-2021</t>
        </is>
      </c>
      <c r="B1221" s="1" t="n">
        <v>44501</v>
      </c>
      <c r="C1221" s="1" t="n">
        <v>45788</v>
      </c>
      <c r="D1221" t="inlineStr">
        <is>
          <t>VÄSTERBOTTENS LÄN</t>
        </is>
      </c>
      <c r="E1221" t="inlineStr">
        <is>
          <t>ÅSELE</t>
        </is>
      </c>
      <c r="F1221" t="inlineStr">
        <is>
          <t>SCA</t>
        </is>
      </c>
      <c r="G1221" t="n">
        <v>12.9</v>
      </c>
      <c r="H1221" t="n">
        <v>0</v>
      </c>
      <c r="I1221" t="n">
        <v>1</v>
      </c>
      <c r="J1221" t="n">
        <v>0</v>
      </c>
      <c r="K1221" t="n">
        <v>0</v>
      </c>
      <c r="L1221" t="n">
        <v>0</v>
      </c>
      <c r="M1221" t="n">
        <v>0</v>
      </c>
      <c r="N1221" t="n">
        <v>0</v>
      </c>
      <c r="O1221" t="n">
        <v>0</v>
      </c>
      <c r="P1221" t="n">
        <v>0</v>
      </c>
      <c r="Q1221" t="n">
        <v>1</v>
      </c>
      <c r="R1221" s="2" t="inlineStr">
        <is>
          <t>Skinnlav</t>
        </is>
      </c>
      <c r="S1221">
        <f>HYPERLINK("https://klasma.github.io/Logging_2463/artfynd/A 61850-2021 artfynd.xlsx", "A 61850-2021")</f>
        <v/>
      </c>
      <c r="T1221">
        <f>HYPERLINK("https://klasma.github.io/Logging_2463/kartor/A 61850-2021 karta.png", "A 61850-2021")</f>
        <v/>
      </c>
      <c r="V1221">
        <f>HYPERLINK("https://klasma.github.io/Logging_2463/klagomål/A 61850-2021 FSC-klagomål.docx", "A 61850-2021")</f>
        <v/>
      </c>
      <c r="W1221">
        <f>HYPERLINK("https://klasma.github.io/Logging_2463/klagomålsmail/A 61850-2021 FSC-klagomål mail.docx", "A 61850-2021")</f>
        <v/>
      </c>
      <c r="X1221">
        <f>HYPERLINK("https://klasma.github.io/Logging_2463/tillsyn/A 61850-2021 tillsynsbegäran.docx", "A 61850-2021")</f>
        <v/>
      </c>
      <c r="Y1221">
        <f>HYPERLINK("https://klasma.github.io/Logging_2463/tillsynsmail/A 61850-2021 tillsynsbegäran mail.docx", "A 61850-2021")</f>
        <v/>
      </c>
    </row>
    <row r="1222" ht="15" customHeight="1">
      <c r="A1222" t="inlineStr">
        <is>
          <t>A 62436-2021</t>
        </is>
      </c>
      <c r="B1222" s="1" t="n">
        <v>44503</v>
      </c>
      <c r="C1222" s="1" t="n">
        <v>45788</v>
      </c>
      <c r="D1222" t="inlineStr">
        <is>
          <t>VÄSTERBOTTENS LÄN</t>
        </is>
      </c>
      <c r="E1222" t="inlineStr">
        <is>
          <t>SKELLEFTEÅ</t>
        </is>
      </c>
      <c r="F1222" t="inlineStr">
        <is>
          <t>Holmen skog AB</t>
        </is>
      </c>
      <c r="G1222" t="n">
        <v>19.5</v>
      </c>
      <c r="H1222" t="n">
        <v>0</v>
      </c>
      <c r="I1222" t="n">
        <v>0</v>
      </c>
      <c r="J1222" t="n">
        <v>1</v>
      </c>
      <c r="K1222" t="n">
        <v>0</v>
      </c>
      <c r="L1222" t="n">
        <v>0</v>
      </c>
      <c r="M1222" t="n">
        <v>0</v>
      </c>
      <c r="N1222" t="n">
        <v>0</v>
      </c>
      <c r="O1222" t="n">
        <v>1</v>
      </c>
      <c r="P1222" t="n">
        <v>0</v>
      </c>
      <c r="Q1222" t="n">
        <v>1</v>
      </c>
      <c r="R1222" s="2" t="inlineStr">
        <is>
          <t>Lunglav</t>
        </is>
      </c>
      <c r="S1222">
        <f>HYPERLINK("https://klasma.github.io/Logging_2482/artfynd/A 62436-2021 artfynd.xlsx", "A 62436-2021")</f>
        <v/>
      </c>
      <c r="T1222">
        <f>HYPERLINK("https://klasma.github.io/Logging_2482/kartor/A 62436-2021 karta.png", "A 62436-2021")</f>
        <v/>
      </c>
      <c r="V1222">
        <f>HYPERLINK("https://klasma.github.io/Logging_2482/klagomål/A 62436-2021 FSC-klagomål.docx", "A 62436-2021")</f>
        <v/>
      </c>
      <c r="W1222">
        <f>HYPERLINK("https://klasma.github.io/Logging_2482/klagomålsmail/A 62436-2021 FSC-klagomål mail.docx", "A 62436-2021")</f>
        <v/>
      </c>
      <c r="X1222">
        <f>HYPERLINK("https://klasma.github.io/Logging_2482/tillsyn/A 62436-2021 tillsynsbegäran.docx", "A 62436-2021")</f>
        <v/>
      </c>
      <c r="Y1222">
        <f>HYPERLINK("https://klasma.github.io/Logging_2482/tillsynsmail/A 62436-2021 tillsynsbegäran mail.docx", "A 62436-2021")</f>
        <v/>
      </c>
    </row>
    <row r="1223" ht="15" customHeight="1">
      <c r="A1223" t="inlineStr">
        <is>
          <t>A 66924-2021</t>
        </is>
      </c>
      <c r="B1223" s="1" t="n">
        <v>44522</v>
      </c>
      <c r="C1223" s="1" t="n">
        <v>45788</v>
      </c>
      <c r="D1223" t="inlineStr">
        <is>
          <t>VÄSTERBOTTENS LÄN</t>
        </is>
      </c>
      <c r="E1223" t="inlineStr">
        <is>
          <t>VILHELMINA</t>
        </is>
      </c>
      <c r="F1223" t="inlineStr">
        <is>
          <t>Allmännings- och besparingsskogar</t>
        </is>
      </c>
      <c r="G1223" t="n">
        <v>335.4</v>
      </c>
      <c r="H1223" t="n">
        <v>1</v>
      </c>
      <c r="I1223" t="n">
        <v>0</v>
      </c>
      <c r="J1223" t="n">
        <v>1</v>
      </c>
      <c r="K1223" t="n">
        <v>0</v>
      </c>
      <c r="L1223" t="n">
        <v>0</v>
      </c>
      <c r="M1223" t="n">
        <v>0</v>
      </c>
      <c r="N1223" t="n">
        <v>0</v>
      </c>
      <c r="O1223" t="n">
        <v>1</v>
      </c>
      <c r="P1223" t="n">
        <v>0</v>
      </c>
      <c r="Q1223" t="n">
        <v>1</v>
      </c>
      <c r="R1223" s="2" t="inlineStr">
        <is>
          <t>Utter</t>
        </is>
      </c>
      <c r="S1223">
        <f>HYPERLINK("https://klasma.github.io/Logging_2462/artfynd/A 66924-2021 artfynd.xlsx", "A 66924-2021")</f>
        <v/>
      </c>
      <c r="T1223">
        <f>HYPERLINK("https://klasma.github.io/Logging_2462/kartor/A 66924-2021 karta.png", "A 66924-2021")</f>
        <v/>
      </c>
      <c r="V1223">
        <f>HYPERLINK("https://klasma.github.io/Logging_2462/klagomål/A 66924-2021 FSC-klagomål.docx", "A 66924-2021")</f>
        <v/>
      </c>
      <c r="W1223">
        <f>HYPERLINK("https://klasma.github.io/Logging_2462/klagomålsmail/A 66924-2021 FSC-klagomål mail.docx", "A 66924-2021")</f>
        <v/>
      </c>
      <c r="X1223">
        <f>HYPERLINK("https://klasma.github.io/Logging_2462/tillsyn/A 66924-2021 tillsynsbegäran.docx", "A 66924-2021")</f>
        <v/>
      </c>
      <c r="Y1223">
        <f>HYPERLINK("https://klasma.github.io/Logging_2462/tillsynsmail/A 66924-2021 tillsynsbegäran mail.docx", "A 66924-2021")</f>
        <v/>
      </c>
    </row>
    <row r="1224" ht="15" customHeight="1">
      <c r="A1224" t="inlineStr">
        <is>
          <t>A 67790-2021</t>
        </is>
      </c>
      <c r="B1224" s="1" t="n">
        <v>44526</v>
      </c>
      <c r="C1224" s="1" t="n">
        <v>45788</v>
      </c>
      <c r="D1224" t="inlineStr">
        <is>
          <t>VÄSTERBOTTENS LÄN</t>
        </is>
      </c>
      <c r="E1224" t="inlineStr">
        <is>
          <t>DOROTEA</t>
        </is>
      </c>
      <c r="F1224" t="inlineStr">
        <is>
          <t>Övriga statliga verk och myndigheter</t>
        </is>
      </c>
      <c r="G1224" t="n">
        <v>3.2</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HYPERLINK("https://klasma.github.io/Logging_2425/artfynd/A 67790-2021 artfynd.xlsx", "A 67790-2021")</f>
        <v/>
      </c>
      <c r="T1224">
        <f>HYPERLINK("https://klasma.github.io/Logging_2425/kartor/A 67790-2021 karta.png", "A 67790-2021")</f>
        <v/>
      </c>
      <c r="V1224">
        <f>HYPERLINK("https://klasma.github.io/Logging_2425/klagomål/A 67790-2021 FSC-klagomål.docx", "A 67790-2021")</f>
        <v/>
      </c>
      <c r="W1224">
        <f>HYPERLINK("https://klasma.github.io/Logging_2425/klagomålsmail/A 67790-2021 FSC-klagomål mail.docx", "A 67790-2021")</f>
        <v/>
      </c>
      <c r="X1224">
        <f>HYPERLINK("https://klasma.github.io/Logging_2425/tillsyn/A 67790-2021 tillsynsbegäran.docx", "A 67790-2021")</f>
        <v/>
      </c>
      <c r="Y1224">
        <f>HYPERLINK("https://klasma.github.io/Logging_2425/tillsynsmail/A 67790-2021 tillsynsbegäran mail.docx", "A 67790-2021")</f>
        <v/>
      </c>
      <c r="Z1224">
        <f>HYPERLINK("https://klasma.github.io/Logging_2425/fåglar/A 67790-2021 prioriterade fågelarter.docx", "A 67790-2021")</f>
        <v/>
      </c>
    </row>
    <row r="1225" ht="15" customHeight="1">
      <c r="A1225" t="inlineStr">
        <is>
          <t>A 68783-2021</t>
        </is>
      </c>
      <c r="B1225" s="1" t="n">
        <v>44529</v>
      </c>
      <c r="C1225" s="1" t="n">
        <v>45788</v>
      </c>
      <c r="D1225" t="inlineStr">
        <is>
          <t>VÄSTERBOTTENS LÄN</t>
        </is>
      </c>
      <c r="E1225" t="inlineStr">
        <is>
          <t>VILHELMINA</t>
        </is>
      </c>
      <c r="F1225" t="inlineStr">
        <is>
          <t>SCA</t>
        </is>
      </c>
      <c r="G1225" t="n">
        <v>7.3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HYPERLINK("https://klasma.github.io/Logging_2462/artfynd/A 68783-2021 artfynd.xlsx", "A 68783-2021")</f>
        <v/>
      </c>
      <c r="T1225">
        <f>HYPERLINK("https://klasma.github.io/Logging_2462/kartor/A 68783-2021 karta.png", "A 68783-2021")</f>
        <v/>
      </c>
      <c r="V1225">
        <f>HYPERLINK("https://klasma.github.io/Logging_2462/klagomål/A 68783-2021 FSC-klagomål.docx", "A 68783-2021")</f>
        <v/>
      </c>
      <c r="W1225">
        <f>HYPERLINK("https://klasma.github.io/Logging_2462/klagomålsmail/A 68783-2021 FSC-klagomål mail.docx", "A 68783-2021")</f>
        <v/>
      </c>
      <c r="X1225">
        <f>HYPERLINK("https://klasma.github.io/Logging_2462/tillsyn/A 68783-2021 tillsynsbegäran.docx", "A 68783-2021")</f>
        <v/>
      </c>
      <c r="Y1225">
        <f>HYPERLINK("https://klasma.github.io/Logging_2462/tillsynsmail/A 68783-2021 tillsynsbegäran mail.docx", "A 68783-2021")</f>
        <v/>
      </c>
      <c r="Z1225">
        <f>HYPERLINK("https://klasma.github.io/Logging_2462/fåglar/A 68783-2021 prioriterade fågelarter.docx", "A 68783-2021")</f>
        <v/>
      </c>
    </row>
    <row r="1226" ht="15" customHeight="1">
      <c r="A1226" t="inlineStr">
        <is>
          <t>A 69545-2021</t>
        </is>
      </c>
      <c r="B1226" s="1" t="n">
        <v>44531</v>
      </c>
      <c r="C1226" s="1" t="n">
        <v>45788</v>
      </c>
      <c r="D1226" t="inlineStr">
        <is>
          <t>VÄSTERBOTTENS LÄN</t>
        </is>
      </c>
      <c r="E1226" t="inlineStr">
        <is>
          <t>VILHELMINA</t>
        </is>
      </c>
      <c r="F1226" t="inlineStr">
        <is>
          <t>SCA</t>
        </is>
      </c>
      <c r="G1226" t="n">
        <v>3.8</v>
      </c>
      <c r="H1226" t="n">
        <v>0</v>
      </c>
      <c r="I1226" t="n">
        <v>1</v>
      </c>
      <c r="J1226" t="n">
        <v>0</v>
      </c>
      <c r="K1226" t="n">
        <v>0</v>
      </c>
      <c r="L1226" t="n">
        <v>0</v>
      </c>
      <c r="M1226" t="n">
        <v>0</v>
      </c>
      <c r="N1226" t="n">
        <v>0</v>
      </c>
      <c r="O1226" t="n">
        <v>0</v>
      </c>
      <c r="P1226" t="n">
        <v>0</v>
      </c>
      <c r="Q1226" t="n">
        <v>1</v>
      </c>
      <c r="R1226" s="2" t="inlineStr">
        <is>
          <t>Norrlandslav</t>
        </is>
      </c>
      <c r="S1226">
        <f>HYPERLINK("https://klasma.github.io/Logging_2462/artfynd/A 69545-2021 artfynd.xlsx", "A 69545-2021")</f>
        <v/>
      </c>
      <c r="T1226">
        <f>HYPERLINK("https://klasma.github.io/Logging_2462/kartor/A 69545-2021 karta.png", "A 69545-2021")</f>
        <v/>
      </c>
      <c r="V1226">
        <f>HYPERLINK("https://klasma.github.io/Logging_2462/klagomål/A 69545-2021 FSC-klagomål.docx", "A 69545-2021")</f>
        <v/>
      </c>
      <c r="W1226">
        <f>HYPERLINK("https://klasma.github.io/Logging_2462/klagomålsmail/A 69545-2021 FSC-klagomål mail.docx", "A 69545-2021")</f>
        <v/>
      </c>
      <c r="X1226">
        <f>HYPERLINK("https://klasma.github.io/Logging_2462/tillsyn/A 69545-2021 tillsynsbegäran.docx", "A 69545-2021")</f>
        <v/>
      </c>
      <c r="Y1226">
        <f>HYPERLINK("https://klasma.github.io/Logging_2462/tillsynsmail/A 69545-2021 tillsynsbegäran mail.docx", "A 69545-2021")</f>
        <v/>
      </c>
    </row>
    <row r="1227" ht="15" customHeight="1">
      <c r="A1227" t="inlineStr">
        <is>
          <t>A 69915-2021</t>
        </is>
      </c>
      <c r="B1227" s="1" t="n">
        <v>44532</v>
      </c>
      <c r="C1227" s="1" t="n">
        <v>45788</v>
      </c>
      <c r="D1227" t="inlineStr">
        <is>
          <t>VÄSTERBOTTENS LÄN</t>
        </is>
      </c>
      <c r="E1227" t="inlineStr">
        <is>
          <t>VILHELMINA</t>
        </is>
      </c>
      <c r="F1227" t="inlineStr">
        <is>
          <t>SCA</t>
        </is>
      </c>
      <c r="G1227" t="n">
        <v>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69915-2021 artfynd.xlsx", "A 69915-2021")</f>
        <v/>
      </c>
      <c r="T1227">
        <f>HYPERLINK("https://klasma.github.io/Logging_2462/kartor/A 69915-2021 karta.png", "A 69915-2021")</f>
        <v/>
      </c>
      <c r="V1227">
        <f>HYPERLINK("https://klasma.github.io/Logging_2462/klagomål/A 69915-2021 FSC-klagomål.docx", "A 69915-2021")</f>
        <v/>
      </c>
      <c r="W1227">
        <f>HYPERLINK("https://klasma.github.io/Logging_2462/klagomålsmail/A 69915-2021 FSC-klagomål mail.docx", "A 69915-2021")</f>
        <v/>
      </c>
      <c r="X1227">
        <f>HYPERLINK("https://klasma.github.io/Logging_2462/tillsyn/A 69915-2021 tillsynsbegäran.docx", "A 69915-2021")</f>
        <v/>
      </c>
      <c r="Y1227">
        <f>HYPERLINK("https://klasma.github.io/Logging_2462/tillsynsmail/A 69915-2021 tillsynsbegäran mail.docx", "A 69915-2021")</f>
        <v/>
      </c>
      <c r="Z1227">
        <f>HYPERLINK("https://klasma.github.io/Logging_2462/fåglar/A 69915-2021 prioriterade fågelarter.docx", "A 69915-2021")</f>
        <v/>
      </c>
    </row>
    <row r="1228" ht="15" customHeight="1">
      <c r="A1228" t="inlineStr">
        <is>
          <t>A 70868-2021</t>
        </is>
      </c>
      <c r="B1228" s="1" t="n">
        <v>44536</v>
      </c>
      <c r="C1228" s="1" t="n">
        <v>45788</v>
      </c>
      <c r="D1228" t="inlineStr">
        <is>
          <t>VÄSTERBOTTENS LÄN</t>
        </is>
      </c>
      <c r="E1228" t="inlineStr">
        <is>
          <t>SKELLEFTEÅ</t>
        </is>
      </c>
      <c r="G1228" t="n">
        <v>4.4</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HYPERLINK("https://klasma.github.io/Logging_2482/artfynd/A 70868-2021 artfynd.xlsx", "A 70868-2021")</f>
        <v/>
      </c>
      <c r="T1228">
        <f>HYPERLINK("https://klasma.github.io/Logging_2482/kartor/A 70868-2021 karta.png", "A 70868-2021")</f>
        <v/>
      </c>
      <c r="V1228">
        <f>HYPERLINK("https://klasma.github.io/Logging_2482/klagomål/A 70868-2021 FSC-klagomål.docx", "A 70868-2021")</f>
        <v/>
      </c>
      <c r="W1228">
        <f>HYPERLINK("https://klasma.github.io/Logging_2482/klagomålsmail/A 70868-2021 FSC-klagomål mail.docx", "A 70868-2021")</f>
        <v/>
      </c>
      <c r="X1228">
        <f>HYPERLINK("https://klasma.github.io/Logging_2482/tillsyn/A 70868-2021 tillsynsbegäran.docx", "A 70868-2021")</f>
        <v/>
      </c>
      <c r="Y1228">
        <f>HYPERLINK("https://klasma.github.io/Logging_2482/tillsynsmail/A 70868-2021 tillsynsbegäran mail.docx", "A 70868-2021")</f>
        <v/>
      </c>
    </row>
    <row r="1229" ht="15" customHeight="1">
      <c r="A1229" t="inlineStr">
        <is>
          <t>A 72131-2021</t>
        </is>
      </c>
      <c r="B1229" s="1" t="n">
        <v>44543</v>
      </c>
      <c r="C1229" s="1" t="n">
        <v>45788</v>
      </c>
      <c r="D1229" t="inlineStr">
        <is>
          <t>VÄSTERBOTTENS LÄN</t>
        </is>
      </c>
      <c r="E1229" t="inlineStr">
        <is>
          <t>LYCKSELE</t>
        </is>
      </c>
      <c r="G1229" t="n">
        <v>19.1</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HYPERLINK("https://klasma.github.io/Logging_2481/artfynd/A 72131-2021 artfynd.xlsx", "A 72131-2021")</f>
        <v/>
      </c>
      <c r="T1229">
        <f>HYPERLINK("https://klasma.github.io/Logging_2481/kartor/A 72131-2021 karta.png", "A 72131-2021")</f>
        <v/>
      </c>
      <c r="V1229">
        <f>HYPERLINK("https://klasma.github.io/Logging_2481/klagomål/A 72131-2021 FSC-klagomål.docx", "A 72131-2021")</f>
        <v/>
      </c>
      <c r="W1229">
        <f>HYPERLINK("https://klasma.github.io/Logging_2481/klagomålsmail/A 72131-2021 FSC-klagomål mail.docx", "A 72131-2021")</f>
        <v/>
      </c>
      <c r="X1229">
        <f>HYPERLINK("https://klasma.github.io/Logging_2481/tillsyn/A 72131-2021 tillsynsbegäran.docx", "A 72131-2021")</f>
        <v/>
      </c>
      <c r="Y1229">
        <f>HYPERLINK("https://klasma.github.io/Logging_2481/tillsynsmail/A 72131-2021 tillsynsbegäran mail.docx", "A 72131-2021")</f>
        <v/>
      </c>
      <c r="Z1229">
        <f>HYPERLINK("https://klasma.github.io/Logging_2481/fåglar/A 72131-2021 prioriterade fågelarter.docx", "A 72131-2021")</f>
        <v/>
      </c>
    </row>
    <row r="1230" ht="15" customHeight="1">
      <c r="A1230" t="inlineStr">
        <is>
          <t>A 72939-2021</t>
        </is>
      </c>
      <c r="B1230" s="1" t="n">
        <v>44547</v>
      </c>
      <c r="C1230" s="1" t="n">
        <v>45788</v>
      </c>
      <c r="D1230" t="inlineStr">
        <is>
          <t>VÄSTERBOTTENS LÄN</t>
        </is>
      </c>
      <c r="E1230" t="inlineStr">
        <is>
          <t>SKELLEFTEÅ</t>
        </is>
      </c>
      <c r="G1230" t="n">
        <v>14.8</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HYPERLINK("https://klasma.github.io/Logging_2482/artfynd/A 72939-2021 artfynd.xlsx", "A 72939-2021")</f>
        <v/>
      </c>
      <c r="T1230">
        <f>HYPERLINK("https://klasma.github.io/Logging_2482/kartor/A 72939-2021 karta.png", "A 72939-2021")</f>
        <v/>
      </c>
      <c r="V1230">
        <f>HYPERLINK("https://klasma.github.io/Logging_2482/klagomål/A 72939-2021 FSC-klagomål.docx", "A 72939-2021")</f>
        <v/>
      </c>
      <c r="W1230">
        <f>HYPERLINK("https://klasma.github.io/Logging_2482/klagomålsmail/A 72939-2021 FSC-klagomål mail.docx", "A 72939-2021")</f>
        <v/>
      </c>
      <c r="X1230">
        <f>HYPERLINK("https://klasma.github.io/Logging_2482/tillsyn/A 72939-2021 tillsynsbegäran.docx", "A 72939-2021")</f>
        <v/>
      </c>
      <c r="Y1230">
        <f>HYPERLINK("https://klasma.github.io/Logging_2482/tillsynsmail/A 72939-2021 tillsynsbegäran mail.docx", "A 72939-2021")</f>
        <v/>
      </c>
    </row>
    <row r="1231" ht="15" customHeight="1">
      <c r="A1231" t="inlineStr">
        <is>
          <t>A 73357-2021</t>
        </is>
      </c>
      <c r="B1231" s="1" t="n">
        <v>44551</v>
      </c>
      <c r="C1231" s="1" t="n">
        <v>45788</v>
      </c>
      <c r="D1231" t="inlineStr">
        <is>
          <t>VÄSTERBOTTENS LÄN</t>
        </is>
      </c>
      <c r="E1231" t="inlineStr">
        <is>
          <t>LYCKSELE</t>
        </is>
      </c>
      <c r="G1231" t="n">
        <v>11.3</v>
      </c>
      <c r="H1231" t="n">
        <v>0</v>
      </c>
      <c r="I1231" t="n">
        <v>0</v>
      </c>
      <c r="J1231" t="n">
        <v>1</v>
      </c>
      <c r="K1231" t="n">
        <v>0</v>
      </c>
      <c r="L1231" t="n">
        <v>0</v>
      </c>
      <c r="M1231" t="n">
        <v>0</v>
      </c>
      <c r="N1231" t="n">
        <v>0</v>
      </c>
      <c r="O1231" t="n">
        <v>1</v>
      </c>
      <c r="P1231" t="n">
        <v>0</v>
      </c>
      <c r="Q1231" t="n">
        <v>1</v>
      </c>
      <c r="R1231" s="2" t="inlineStr">
        <is>
          <t>Garnlav</t>
        </is>
      </c>
      <c r="S1231">
        <f>HYPERLINK("https://klasma.github.io/Logging_2481/artfynd/A 73357-2021 artfynd.xlsx", "A 73357-2021")</f>
        <v/>
      </c>
      <c r="T1231">
        <f>HYPERLINK("https://klasma.github.io/Logging_2481/kartor/A 73357-2021 karta.png", "A 73357-2021")</f>
        <v/>
      </c>
      <c r="V1231">
        <f>HYPERLINK("https://klasma.github.io/Logging_2481/klagomål/A 73357-2021 FSC-klagomål.docx", "A 73357-2021")</f>
        <v/>
      </c>
      <c r="W1231">
        <f>HYPERLINK("https://klasma.github.io/Logging_2481/klagomålsmail/A 73357-2021 FSC-klagomål mail.docx", "A 73357-2021")</f>
        <v/>
      </c>
      <c r="X1231">
        <f>HYPERLINK("https://klasma.github.io/Logging_2481/tillsyn/A 73357-2021 tillsynsbegäran.docx", "A 73357-2021")</f>
        <v/>
      </c>
      <c r="Y1231">
        <f>HYPERLINK("https://klasma.github.io/Logging_2481/tillsynsmail/A 73357-2021 tillsynsbegäran mail.docx", "A 73357-2021")</f>
        <v/>
      </c>
    </row>
    <row r="1232" ht="15" customHeight="1">
      <c r="A1232" t="inlineStr">
        <is>
          <t>A 74395-2021</t>
        </is>
      </c>
      <c r="B1232" s="1" t="n">
        <v>44560</v>
      </c>
      <c r="C1232" s="1" t="n">
        <v>45788</v>
      </c>
      <c r="D1232" t="inlineStr">
        <is>
          <t>VÄSTERBOTTENS LÄN</t>
        </is>
      </c>
      <c r="E1232" t="inlineStr">
        <is>
          <t>VILHELMINA</t>
        </is>
      </c>
      <c r="G1232" t="n">
        <v>37.6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74395-2021 artfynd.xlsx", "A 74395-2021")</f>
        <v/>
      </c>
      <c r="T1232">
        <f>HYPERLINK("https://klasma.github.io/Logging_2462/kartor/A 74395-2021 karta.png", "A 74395-2021")</f>
        <v/>
      </c>
      <c r="V1232">
        <f>HYPERLINK("https://klasma.github.io/Logging_2462/klagomål/A 74395-2021 FSC-klagomål.docx", "A 74395-2021")</f>
        <v/>
      </c>
      <c r="W1232">
        <f>HYPERLINK("https://klasma.github.io/Logging_2462/klagomålsmail/A 74395-2021 FSC-klagomål mail.docx", "A 74395-2021")</f>
        <v/>
      </c>
      <c r="X1232">
        <f>HYPERLINK("https://klasma.github.io/Logging_2462/tillsyn/A 74395-2021 tillsynsbegäran.docx", "A 74395-2021")</f>
        <v/>
      </c>
      <c r="Y1232">
        <f>HYPERLINK("https://klasma.github.io/Logging_2462/tillsynsmail/A 74395-2021 tillsynsbegäran mail.docx", "A 74395-2021")</f>
        <v/>
      </c>
      <c r="Z1232">
        <f>HYPERLINK("https://klasma.github.io/Logging_2462/fåglar/A 74395-2021 prioriterade fågelarter.docx", "A 74395-2021")</f>
        <v/>
      </c>
    </row>
    <row r="1233" ht="15" customHeight="1">
      <c r="A1233" t="inlineStr">
        <is>
          <t>A 3929-2022</t>
        </is>
      </c>
      <c r="B1233" s="1" t="n">
        <v>44587</v>
      </c>
      <c r="C1233" s="1" t="n">
        <v>45788</v>
      </c>
      <c r="D1233" t="inlineStr">
        <is>
          <t>VÄSTERBOTTENS LÄN</t>
        </is>
      </c>
      <c r="E1233" t="inlineStr">
        <is>
          <t>LYCKSELE</t>
        </is>
      </c>
      <c r="F1233" t="inlineStr">
        <is>
          <t>Sveaskog</t>
        </is>
      </c>
      <c r="G1233" t="n">
        <v>6.7</v>
      </c>
      <c r="H1233" t="n">
        <v>0</v>
      </c>
      <c r="I1233" t="n">
        <v>0</v>
      </c>
      <c r="J1233" t="n">
        <v>1</v>
      </c>
      <c r="K1233" t="n">
        <v>0</v>
      </c>
      <c r="L1233" t="n">
        <v>0</v>
      </c>
      <c r="M1233" t="n">
        <v>0</v>
      </c>
      <c r="N1233" t="n">
        <v>0</v>
      </c>
      <c r="O1233" t="n">
        <v>1</v>
      </c>
      <c r="P1233" t="n">
        <v>0</v>
      </c>
      <c r="Q1233" t="n">
        <v>1</v>
      </c>
      <c r="R1233" s="2" t="inlineStr">
        <is>
          <t>Kolflarnlav</t>
        </is>
      </c>
      <c r="S1233">
        <f>HYPERLINK("https://klasma.github.io/Logging_2481/artfynd/A 3929-2022 artfynd.xlsx", "A 3929-2022")</f>
        <v/>
      </c>
      <c r="T1233">
        <f>HYPERLINK("https://klasma.github.io/Logging_2481/kartor/A 3929-2022 karta.png", "A 3929-2022")</f>
        <v/>
      </c>
      <c r="V1233">
        <f>HYPERLINK("https://klasma.github.io/Logging_2481/klagomål/A 3929-2022 FSC-klagomål.docx", "A 3929-2022")</f>
        <v/>
      </c>
      <c r="W1233">
        <f>HYPERLINK("https://klasma.github.io/Logging_2481/klagomålsmail/A 3929-2022 FSC-klagomål mail.docx", "A 3929-2022")</f>
        <v/>
      </c>
      <c r="X1233">
        <f>HYPERLINK("https://klasma.github.io/Logging_2481/tillsyn/A 3929-2022 tillsynsbegäran.docx", "A 3929-2022")</f>
        <v/>
      </c>
      <c r="Y1233">
        <f>HYPERLINK("https://klasma.github.io/Logging_2481/tillsynsmail/A 3929-2022 tillsynsbegäran mail.docx", "A 3929-2022")</f>
        <v/>
      </c>
    </row>
    <row r="1234" ht="15" customHeight="1">
      <c r="A1234" t="inlineStr">
        <is>
          <t>A 6711-2022</t>
        </is>
      </c>
      <c r="B1234" s="1" t="n">
        <v>44602</v>
      </c>
      <c r="C1234" s="1" t="n">
        <v>45788</v>
      </c>
      <c r="D1234" t="inlineStr">
        <is>
          <t>VÄSTERBOTTENS LÄN</t>
        </is>
      </c>
      <c r="E1234" t="inlineStr">
        <is>
          <t>UMEÅ</t>
        </is>
      </c>
      <c r="G1234" t="n">
        <v>9.6</v>
      </c>
      <c r="H1234" t="n">
        <v>1</v>
      </c>
      <c r="I1234" t="n">
        <v>0</v>
      </c>
      <c r="J1234" t="n">
        <v>1</v>
      </c>
      <c r="K1234" t="n">
        <v>0</v>
      </c>
      <c r="L1234" t="n">
        <v>0</v>
      </c>
      <c r="M1234" t="n">
        <v>0</v>
      </c>
      <c r="N1234" t="n">
        <v>0</v>
      </c>
      <c r="O1234" t="n">
        <v>1</v>
      </c>
      <c r="P1234" t="n">
        <v>0</v>
      </c>
      <c r="Q1234" t="n">
        <v>1</v>
      </c>
      <c r="R1234" s="2" t="inlineStr">
        <is>
          <t>Blå kärrhök</t>
        </is>
      </c>
      <c r="S1234">
        <f>HYPERLINK("https://klasma.github.io/Logging_2480/artfynd/A 6711-2022 artfynd.xlsx", "A 6711-2022")</f>
        <v/>
      </c>
      <c r="T1234">
        <f>HYPERLINK("https://klasma.github.io/Logging_2480/kartor/A 6711-2022 karta.png", "A 6711-2022")</f>
        <v/>
      </c>
      <c r="V1234">
        <f>HYPERLINK("https://klasma.github.io/Logging_2480/klagomål/A 6711-2022 FSC-klagomål.docx", "A 6711-2022")</f>
        <v/>
      </c>
      <c r="W1234">
        <f>HYPERLINK("https://klasma.github.io/Logging_2480/klagomålsmail/A 6711-2022 FSC-klagomål mail.docx", "A 6711-2022")</f>
        <v/>
      </c>
      <c r="X1234">
        <f>HYPERLINK("https://klasma.github.io/Logging_2480/tillsyn/A 6711-2022 tillsynsbegäran.docx", "A 6711-2022")</f>
        <v/>
      </c>
      <c r="Y1234">
        <f>HYPERLINK("https://klasma.github.io/Logging_2480/tillsynsmail/A 6711-2022 tillsynsbegäran mail.docx", "A 6711-2022")</f>
        <v/>
      </c>
      <c r="Z1234">
        <f>HYPERLINK("https://klasma.github.io/Logging_2480/fåglar/A 6711-2022 prioriterade fågelarter.docx", "A 6711-2022")</f>
        <v/>
      </c>
    </row>
    <row r="1235" ht="15" customHeight="1">
      <c r="A1235" t="inlineStr">
        <is>
          <t>A 9073-2022</t>
        </is>
      </c>
      <c r="B1235" s="1" t="n">
        <v>44615</v>
      </c>
      <c r="C1235" s="1" t="n">
        <v>45788</v>
      </c>
      <c r="D1235" t="inlineStr">
        <is>
          <t>VÄSTERBOTTENS LÄN</t>
        </is>
      </c>
      <c r="E1235" t="inlineStr">
        <is>
          <t>LYCKSELE</t>
        </is>
      </c>
      <c r="G1235" t="n">
        <v>3</v>
      </c>
      <c r="H1235" t="n">
        <v>1</v>
      </c>
      <c r="I1235" t="n">
        <v>0</v>
      </c>
      <c r="J1235" t="n">
        <v>1</v>
      </c>
      <c r="K1235" t="n">
        <v>0</v>
      </c>
      <c r="L1235" t="n">
        <v>0</v>
      </c>
      <c r="M1235" t="n">
        <v>0</v>
      </c>
      <c r="N1235" t="n">
        <v>0</v>
      </c>
      <c r="O1235" t="n">
        <v>1</v>
      </c>
      <c r="P1235" t="n">
        <v>0</v>
      </c>
      <c r="Q1235" t="n">
        <v>1</v>
      </c>
      <c r="R1235" s="2" t="inlineStr">
        <is>
          <t>Utter</t>
        </is>
      </c>
      <c r="S1235">
        <f>HYPERLINK("https://klasma.github.io/Logging_2481/artfynd/A 9073-2022 artfynd.xlsx", "A 9073-2022")</f>
        <v/>
      </c>
      <c r="T1235">
        <f>HYPERLINK("https://klasma.github.io/Logging_2481/kartor/A 9073-2022 karta.png", "A 9073-2022")</f>
        <v/>
      </c>
      <c r="V1235">
        <f>HYPERLINK("https://klasma.github.io/Logging_2481/klagomål/A 9073-2022 FSC-klagomål.docx", "A 9073-2022")</f>
        <v/>
      </c>
      <c r="W1235">
        <f>HYPERLINK("https://klasma.github.io/Logging_2481/klagomålsmail/A 9073-2022 FSC-klagomål mail.docx", "A 9073-2022")</f>
        <v/>
      </c>
      <c r="X1235">
        <f>HYPERLINK("https://klasma.github.io/Logging_2481/tillsyn/A 9073-2022 tillsynsbegäran.docx", "A 9073-2022")</f>
        <v/>
      </c>
      <c r="Y1235">
        <f>HYPERLINK("https://klasma.github.io/Logging_2481/tillsynsmail/A 9073-2022 tillsynsbegäran mail.docx", "A 9073-2022")</f>
        <v/>
      </c>
    </row>
    <row r="1236" ht="15" customHeight="1">
      <c r="A1236" t="inlineStr">
        <is>
          <t>A 9341-2022</t>
        </is>
      </c>
      <c r="B1236" s="1" t="n">
        <v>44616</v>
      </c>
      <c r="C1236" s="1" t="n">
        <v>45788</v>
      </c>
      <c r="D1236" t="inlineStr">
        <is>
          <t>VÄSTERBOTTENS LÄN</t>
        </is>
      </c>
      <c r="E1236" t="inlineStr">
        <is>
          <t>LYCKSELE</t>
        </is>
      </c>
      <c r="G1236" t="n">
        <v>6.9</v>
      </c>
      <c r="H1236" t="n">
        <v>0</v>
      </c>
      <c r="I1236" t="n">
        <v>0</v>
      </c>
      <c r="J1236" t="n">
        <v>1</v>
      </c>
      <c r="K1236" t="n">
        <v>0</v>
      </c>
      <c r="L1236" t="n">
        <v>0</v>
      </c>
      <c r="M1236" t="n">
        <v>0</v>
      </c>
      <c r="N1236" t="n">
        <v>0</v>
      </c>
      <c r="O1236" t="n">
        <v>1</v>
      </c>
      <c r="P1236" t="n">
        <v>0</v>
      </c>
      <c r="Q1236" t="n">
        <v>1</v>
      </c>
      <c r="R1236" s="2" t="inlineStr">
        <is>
          <t>Ullticka</t>
        </is>
      </c>
      <c r="S1236">
        <f>HYPERLINK("https://klasma.github.io/Logging_2481/artfynd/A 9341-2022 artfynd.xlsx", "A 9341-2022")</f>
        <v/>
      </c>
      <c r="T1236">
        <f>HYPERLINK("https://klasma.github.io/Logging_2481/kartor/A 9341-2022 karta.png", "A 9341-2022")</f>
        <v/>
      </c>
      <c r="V1236">
        <f>HYPERLINK("https://klasma.github.io/Logging_2481/klagomål/A 9341-2022 FSC-klagomål.docx", "A 9341-2022")</f>
        <v/>
      </c>
      <c r="W1236">
        <f>HYPERLINK("https://klasma.github.io/Logging_2481/klagomålsmail/A 9341-2022 FSC-klagomål mail.docx", "A 9341-2022")</f>
        <v/>
      </c>
      <c r="X1236">
        <f>HYPERLINK("https://klasma.github.io/Logging_2481/tillsyn/A 9341-2022 tillsynsbegäran.docx", "A 9341-2022")</f>
        <v/>
      </c>
      <c r="Y1236">
        <f>HYPERLINK("https://klasma.github.io/Logging_2481/tillsynsmail/A 9341-2022 tillsynsbegäran mail.docx", "A 9341-2022")</f>
        <v/>
      </c>
    </row>
    <row r="1237" ht="15" customHeight="1">
      <c r="A1237" t="inlineStr">
        <is>
          <t>A 11502-2022</t>
        </is>
      </c>
      <c r="B1237" s="1" t="n">
        <v>44631</v>
      </c>
      <c r="C1237" s="1" t="n">
        <v>45788</v>
      </c>
      <c r="D1237" t="inlineStr">
        <is>
          <t>VÄSTERBOTTENS LÄN</t>
        </is>
      </c>
      <c r="E1237" t="inlineStr">
        <is>
          <t>UMEÅ</t>
        </is>
      </c>
      <c r="F1237" t="inlineStr">
        <is>
          <t>Kommuner</t>
        </is>
      </c>
      <c r="G1237" t="n">
        <v>1.8</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HYPERLINK("https://klasma.github.io/Logging_2480/artfynd/A 11502-2022 artfynd.xlsx", "A 11502-2022")</f>
        <v/>
      </c>
      <c r="T1237">
        <f>HYPERLINK("https://klasma.github.io/Logging_2480/kartor/A 11502-2022 karta.png", "A 11502-2022")</f>
        <v/>
      </c>
      <c r="V1237">
        <f>HYPERLINK("https://klasma.github.io/Logging_2480/klagomål/A 11502-2022 FSC-klagomål.docx", "A 11502-2022")</f>
        <v/>
      </c>
      <c r="W1237">
        <f>HYPERLINK("https://klasma.github.io/Logging_2480/klagomålsmail/A 11502-2022 FSC-klagomål mail.docx", "A 11502-2022")</f>
        <v/>
      </c>
      <c r="X1237">
        <f>HYPERLINK("https://klasma.github.io/Logging_2480/tillsyn/A 11502-2022 tillsynsbegäran.docx", "A 11502-2022")</f>
        <v/>
      </c>
      <c r="Y1237">
        <f>HYPERLINK("https://klasma.github.io/Logging_2480/tillsynsmail/A 11502-2022 tillsynsbegäran mail.docx", "A 11502-2022")</f>
        <v/>
      </c>
    </row>
    <row r="1238" ht="15" customHeight="1">
      <c r="A1238" t="inlineStr">
        <is>
          <t>A 12486-2022</t>
        </is>
      </c>
      <c r="B1238" s="1" t="n">
        <v>44638</v>
      </c>
      <c r="C1238" s="1" t="n">
        <v>45788</v>
      </c>
      <c r="D1238" t="inlineStr">
        <is>
          <t>VÄSTERBOTTENS LÄN</t>
        </is>
      </c>
      <c r="E1238" t="inlineStr">
        <is>
          <t>VILHELMINA</t>
        </is>
      </c>
      <c r="G1238" t="n">
        <v>19.3</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HYPERLINK("https://klasma.github.io/Logging_2462/artfynd/A 12486-2022 artfynd.xlsx", "A 12486-2022")</f>
        <v/>
      </c>
      <c r="T1238">
        <f>HYPERLINK("https://klasma.github.io/Logging_2462/kartor/A 12486-2022 karta.png", "A 12486-2022")</f>
        <v/>
      </c>
      <c r="V1238">
        <f>HYPERLINK("https://klasma.github.io/Logging_2462/klagomål/A 12486-2022 FSC-klagomål.docx", "A 12486-2022")</f>
        <v/>
      </c>
      <c r="W1238">
        <f>HYPERLINK("https://klasma.github.io/Logging_2462/klagomålsmail/A 12486-2022 FSC-klagomål mail.docx", "A 12486-2022")</f>
        <v/>
      </c>
      <c r="X1238">
        <f>HYPERLINK("https://klasma.github.io/Logging_2462/tillsyn/A 12486-2022 tillsynsbegäran.docx", "A 12486-2022")</f>
        <v/>
      </c>
      <c r="Y1238">
        <f>HYPERLINK("https://klasma.github.io/Logging_2462/tillsynsmail/A 12486-2022 tillsynsbegäran mail.docx", "A 12486-2022")</f>
        <v/>
      </c>
      <c r="Z1238">
        <f>HYPERLINK("https://klasma.github.io/Logging_2462/fåglar/A 12486-2022 prioriterade fågelarter.docx", "A 12486-2022")</f>
        <v/>
      </c>
    </row>
    <row r="1239" ht="15" customHeight="1">
      <c r="A1239" t="inlineStr">
        <is>
          <t>A 12963-2022</t>
        </is>
      </c>
      <c r="B1239" s="1" t="n">
        <v>44642</v>
      </c>
      <c r="C1239" s="1" t="n">
        <v>45788</v>
      </c>
      <c r="D1239" t="inlineStr">
        <is>
          <t>VÄSTERBOTTENS LÄN</t>
        </is>
      </c>
      <c r="E1239" t="inlineStr">
        <is>
          <t>SKELLEFTEÅ</t>
        </is>
      </c>
      <c r="G1239" t="n">
        <v>4.3</v>
      </c>
      <c r="H1239" t="n">
        <v>1</v>
      </c>
      <c r="I1239" t="n">
        <v>0</v>
      </c>
      <c r="J1239" t="n">
        <v>1</v>
      </c>
      <c r="K1239" t="n">
        <v>0</v>
      </c>
      <c r="L1239" t="n">
        <v>0</v>
      </c>
      <c r="M1239" t="n">
        <v>0</v>
      </c>
      <c r="N1239" t="n">
        <v>0</v>
      </c>
      <c r="O1239" t="n">
        <v>1</v>
      </c>
      <c r="P1239" t="n">
        <v>0</v>
      </c>
      <c r="Q1239" t="n">
        <v>1</v>
      </c>
      <c r="R1239" s="2" t="inlineStr">
        <is>
          <t>Duvhök</t>
        </is>
      </c>
      <c r="S1239">
        <f>HYPERLINK("https://klasma.github.io/Logging_2482/artfynd/A 12963-2022 artfynd.xlsx", "A 12963-2022")</f>
        <v/>
      </c>
      <c r="T1239">
        <f>HYPERLINK("https://klasma.github.io/Logging_2482/kartor/A 12963-2022 karta.png", "A 12963-2022")</f>
        <v/>
      </c>
      <c r="V1239">
        <f>HYPERLINK("https://klasma.github.io/Logging_2482/klagomål/A 12963-2022 FSC-klagomål.docx", "A 12963-2022")</f>
        <v/>
      </c>
      <c r="W1239">
        <f>HYPERLINK("https://klasma.github.io/Logging_2482/klagomålsmail/A 12963-2022 FSC-klagomål mail.docx", "A 12963-2022")</f>
        <v/>
      </c>
      <c r="X1239">
        <f>HYPERLINK("https://klasma.github.io/Logging_2482/tillsyn/A 12963-2022 tillsynsbegäran.docx", "A 12963-2022")</f>
        <v/>
      </c>
      <c r="Y1239">
        <f>HYPERLINK("https://klasma.github.io/Logging_2482/tillsynsmail/A 12963-2022 tillsynsbegäran mail.docx", "A 12963-2022")</f>
        <v/>
      </c>
      <c r="Z1239">
        <f>HYPERLINK("https://klasma.github.io/Logging_2482/fåglar/A 12963-2022 prioriterade fågelarter.docx", "A 12963-2022")</f>
        <v/>
      </c>
    </row>
    <row r="1240" ht="15" customHeight="1">
      <c r="A1240" t="inlineStr">
        <is>
          <t>A 13727-2022</t>
        </is>
      </c>
      <c r="B1240" s="1" t="n">
        <v>44648</v>
      </c>
      <c r="C1240" s="1" t="n">
        <v>45788</v>
      </c>
      <c r="D1240" t="inlineStr">
        <is>
          <t>VÄSTERBOTTENS LÄN</t>
        </is>
      </c>
      <c r="E1240" t="inlineStr">
        <is>
          <t>SORSELE</t>
        </is>
      </c>
      <c r="G1240" t="n">
        <v>45.5</v>
      </c>
      <c r="H1240" t="n">
        <v>0</v>
      </c>
      <c r="I1240" t="n">
        <v>0</v>
      </c>
      <c r="J1240" t="n">
        <v>1</v>
      </c>
      <c r="K1240" t="n">
        <v>0</v>
      </c>
      <c r="L1240" t="n">
        <v>0</v>
      </c>
      <c r="M1240" t="n">
        <v>0</v>
      </c>
      <c r="N1240" t="n">
        <v>0</v>
      </c>
      <c r="O1240" t="n">
        <v>1</v>
      </c>
      <c r="P1240" t="n">
        <v>0</v>
      </c>
      <c r="Q1240" t="n">
        <v>1</v>
      </c>
      <c r="R1240" s="2" t="inlineStr">
        <is>
          <t>Knottrig blåslav</t>
        </is>
      </c>
      <c r="S1240">
        <f>HYPERLINK("https://klasma.github.io/Logging_2422/artfynd/A 13727-2022 artfynd.xlsx", "A 13727-2022")</f>
        <v/>
      </c>
      <c r="T1240">
        <f>HYPERLINK("https://klasma.github.io/Logging_2422/kartor/A 13727-2022 karta.png", "A 13727-2022")</f>
        <v/>
      </c>
      <c r="V1240">
        <f>HYPERLINK("https://klasma.github.io/Logging_2422/klagomål/A 13727-2022 FSC-klagomål.docx", "A 13727-2022")</f>
        <v/>
      </c>
      <c r="W1240">
        <f>HYPERLINK("https://klasma.github.io/Logging_2422/klagomålsmail/A 13727-2022 FSC-klagomål mail.docx", "A 13727-2022")</f>
        <v/>
      </c>
      <c r="X1240">
        <f>HYPERLINK("https://klasma.github.io/Logging_2422/tillsyn/A 13727-2022 tillsynsbegäran.docx", "A 13727-2022")</f>
        <v/>
      </c>
      <c r="Y1240">
        <f>HYPERLINK("https://klasma.github.io/Logging_2422/tillsynsmail/A 13727-2022 tillsynsbegäran mail.docx", "A 13727-2022")</f>
        <v/>
      </c>
    </row>
    <row r="1241" ht="15" customHeight="1">
      <c r="A1241" t="inlineStr">
        <is>
          <t>A 14277-2022</t>
        </is>
      </c>
      <c r="B1241" s="1" t="n">
        <v>44651</v>
      </c>
      <c r="C1241" s="1" t="n">
        <v>45788</v>
      </c>
      <c r="D1241" t="inlineStr">
        <is>
          <t>VÄSTERBOTTENS LÄN</t>
        </is>
      </c>
      <c r="E1241" t="inlineStr">
        <is>
          <t>SKELLEFTEÅ</t>
        </is>
      </c>
      <c r="G1241" t="n">
        <v>7.4</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HYPERLINK("https://klasma.github.io/Logging_2482/artfynd/A 14277-2022 artfynd.xlsx", "A 14277-2022")</f>
        <v/>
      </c>
      <c r="T1241">
        <f>HYPERLINK("https://klasma.github.io/Logging_2482/kartor/A 14277-2022 karta.png", "A 14277-2022")</f>
        <v/>
      </c>
      <c r="V1241">
        <f>HYPERLINK("https://klasma.github.io/Logging_2482/klagomål/A 14277-2022 FSC-klagomål.docx", "A 14277-2022")</f>
        <v/>
      </c>
      <c r="W1241">
        <f>HYPERLINK("https://klasma.github.io/Logging_2482/klagomålsmail/A 14277-2022 FSC-klagomål mail.docx", "A 14277-2022")</f>
        <v/>
      </c>
      <c r="X1241">
        <f>HYPERLINK("https://klasma.github.io/Logging_2482/tillsyn/A 14277-2022 tillsynsbegäran.docx", "A 14277-2022")</f>
        <v/>
      </c>
      <c r="Y1241">
        <f>HYPERLINK("https://klasma.github.io/Logging_2482/tillsynsmail/A 14277-2022 tillsynsbegäran mail.docx", "A 14277-2022")</f>
        <v/>
      </c>
    </row>
    <row r="1242" ht="15" customHeight="1">
      <c r="A1242" t="inlineStr">
        <is>
          <t>A 16145-2022</t>
        </is>
      </c>
      <c r="B1242" s="1" t="n">
        <v>44665</v>
      </c>
      <c r="C1242" s="1" t="n">
        <v>45788</v>
      </c>
      <c r="D1242" t="inlineStr">
        <is>
          <t>VÄSTERBOTTENS LÄN</t>
        </is>
      </c>
      <c r="E1242" t="inlineStr">
        <is>
          <t>BJURHOLM</t>
        </is>
      </c>
      <c r="F1242" t="inlineStr">
        <is>
          <t>SCA</t>
        </is>
      </c>
      <c r="G1242" t="n">
        <v>5.9</v>
      </c>
      <c r="H1242" t="n">
        <v>0</v>
      </c>
      <c r="I1242" t="n">
        <v>1</v>
      </c>
      <c r="J1242" t="n">
        <v>0</v>
      </c>
      <c r="K1242" t="n">
        <v>0</v>
      </c>
      <c r="L1242" t="n">
        <v>0</v>
      </c>
      <c r="M1242" t="n">
        <v>0</v>
      </c>
      <c r="N1242" t="n">
        <v>0</v>
      </c>
      <c r="O1242" t="n">
        <v>0</v>
      </c>
      <c r="P1242" t="n">
        <v>0</v>
      </c>
      <c r="Q1242" t="n">
        <v>1</v>
      </c>
      <c r="R1242" s="2" t="inlineStr">
        <is>
          <t>Stor aspticka</t>
        </is>
      </c>
      <c r="S1242">
        <f>HYPERLINK("https://klasma.github.io/Logging_2403/artfynd/A 16145-2022 artfynd.xlsx", "A 16145-2022")</f>
        <v/>
      </c>
      <c r="T1242">
        <f>HYPERLINK("https://klasma.github.io/Logging_2403/kartor/A 16145-2022 karta.png", "A 16145-2022")</f>
        <v/>
      </c>
      <c r="V1242">
        <f>HYPERLINK("https://klasma.github.io/Logging_2403/klagomål/A 16145-2022 FSC-klagomål.docx", "A 16145-2022")</f>
        <v/>
      </c>
      <c r="W1242">
        <f>HYPERLINK("https://klasma.github.io/Logging_2403/klagomålsmail/A 16145-2022 FSC-klagomål mail.docx", "A 16145-2022")</f>
        <v/>
      </c>
      <c r="X1242">
        <f>HYPERLINK("https://klasma.github.io/Logging_2403/tillsyn/A 16145-2022 tillsynsbegäran.docx", "A 16145-2022")</f>
        <v/>
      </c>
      <c r="Y1242">
        <f>HYPERLINK("https://klasma.github.io/Logging_2403/tillsynsmail/A 16145-2022 tillsynsbegäran mail.docx", "A 16145-2022")</f>
        <v/>
      </c>
    </row>
    <row r="1243" ht="15" customHeight="1">
      <c r="A1243" t="inlineStr">
        <is>
          <t>A 16839-2022</t>
        </is>
      </c>
      <c r="B1243" s="1" t="n">
        <v>44673</v>
      </c>
      <c r="C1243" s="1" t="n">
        <v>45788</v>
      </c>
      <c r="D1243" t="inlineStr">
        <is>
          <t>VÄSTERBOTTENS LÄN</t>
        </is>
      </c>
      <c r="E1243" t="inlineStr">
        <is>
          <t>UMEÅ</t>
        </is>
      </c>
      <c r="G1243" t="n">
        <v>3</v>
      </c>
      <c r="H1243" t="n">
        <v>1</v>
      </c>
      <c r="I1243" t="n">
        <v>0</v>
      </c>
      <c r="J1243" t="n">
        <v>1</v>
      </c>
      <c r="K1243" t="n">
        <v>0</v>
      </c>
      <c r="L1243" t="n">
        <v>0</v>
      </c>
      <c r="M1243" t="n">
        <v>0</v>
      </c>
      <c r="N1243" t="n">
        <v>0</v>
      </c>
      <c r="O1243" t="n">
        <v>1</v>
      </c>
      <c r="P1243" t="n">
        <v>0</v>
      </c>
      <c r="Q1243" t="n">
        <v>1</v>
      </c>
      <c r="R1243" s="2" t="inlineStr">
        <is>
          <t>Kråka</t>
        </is>
      </c>
      <c r="S1243">
        <f>HYPERLINK("https://klasma.github.io/Logging_2480/artfynd/A 16839-2022 artfynd.xlsx", "A 16839-2022")</f>
        <v/>
      </c>
      <c r="T1243">
        <f>HYPERLINK("https://klasma.github.io/Logging_2480/kartor/A 16839-2022 karta.png", "A 16839-2022")</f>
        <v/>
      </c>
      <c r="V1243">
        <f>HYPERLINK("https://klasma.github.io/Logging_2480/klagomål/A 16839-2022 FSC-klagomål.docx", "A 16839-2022")</f>
        <v/>
      </c>
      <c r="W1243">
        <f>HYPERLINK("https://klasma.github.io/Logging_2480/klagomålsmail/A 16839-2022 FSC-klagomål mail.docx", "A 16839-2022")</f>
        <v/>
      </c>
      <c r="X1243">
        <f>HYPERLINK("https://klasma.github.io/Logging_2480/tillsyn/A 16839-2022 tillsynsbegäran.docx", "A 16839-2022")</f>
        <v/>
      </c>
      <c r="Y1243">
        <f>HYPERLINK("https://klasma.github.io/Logging_2480/tillsynsmail/A 16839-2022 tillsynsbegäran mail.docx", "A 16839-2022")</f>
        <v/>
      </c>
      <c r="Z1243">
        <f>HYPERLINK("https://klasma.github.io/Logging_2480/fåglar/A 16839-2022 prioriterade fågelarter.docx", "A 16839-2022")</f>
        <v/>
      </c>
    </row>
    <row r="1244" ht="15" customHeight="1">
      <c r="A1244" t="inlineStr">
        <is>
          <t>A 17336-2022</t>
        </is>
      </c>
      <c r="B1244" s="1" t="n">
        <v>44678</v>
      </c>
      <c r="C1244" s="1" t="n">
        <v>45788</v>
      </c>
      <c r="D1244" t="inlineStr">
        <is>
          <t>VÄSTERBOTTENS LÄN</t>
        </is>
      </c>
      <c r="E1244" t="inlineStr">
        <is>
          <t>SKELLEFTEÅ</t>
        </is>
      </c>
      <c r="G1244" t="n">
        <v>0.5</v>
      </c>
      <c r="H1244" t="n">
        <v>0</v>
      </c>
      <c r="I1244" t="n">
        <v>0</v>
      </c>
      <c r="J1244" t="n">
        <v>1</v>
      </c>
      <c r="K1244" t="n">
        <v>0</v>
      </c>
      <c r="L1244" t="n">
        <v>0</v>
      </c>
      <c r="M1244" t="n">
        <v>0</v>
      </c>
      <c r="N1244" t="n">
        <v>0</v>
      </c>
      <c r="O1244" t="n">
        <v>1</v>
      </c>
      <c r="P1244" t="n">
        <v>0</v>
      </c>
      <c r="Q1244" t="n">
        <v>1</v>
      </c>
      <c r="R1244" s="2" t="inlineStr">
        <is>
          <t>Doftskinn</t>
        </is>
      </c>
      <c r="S1244">
        <f>HYPERLINK("https://klasma.github.io/Logging_2482/artfynd/A 17336-2022 artfynd.xlsx", "A 17336-2022")</f>
        <v/>
      </c>
      <c r="T1244">
        <f>HYPERLINK("https://klasma.github.io/Logging_2482/kartor/A 17336-2022 karta.png", "A 17336-2022")</f>
        <v/>
      </c>
      <c r="V1244">
        <f>HYPERLINK("https://klasma.github.io/Logging_2482/klagomål/A 17336-2022 FSC-klagomål.docx", "A 17336-2022")</f>
        <v/>
      </c>
      <c r="W1244">
        <f>HYPERLINK("https://klasma.github.io/Logging_2482/klagomålsmail/A 17336-2022 FSC-klagomål mail.docx", "A 17336-2022")</f>
        <v/>
      </c>
      <c r="X1244">
        <f>HYPERLINK("https://klasma.github.io/Logging_2482/tillsyn/A 17336-2022 tillsynsbegäran.docx", "A 17336-2022")</f>
        <v/>
      </c>
      <c r="Y1244">
        <f>HYPERLINK("https://klasma.github.io/Logging_2482/tillsynsmail/A 17336-2022 tillsynsbegäran mail.docx", "A 17336-2022")</f>
        <v/>
      </c>
    </row>
    <row r="1245" ht="15" customHeight="1">
      <c r="A1245" t="inlineStr">
        <is>
          <t>A 20192-2022</t>
        </is>
      </c>
      <c r="B1245" s="1" t="n">
        <v>44698</v>
      </c>
      <c r="C1245" s="1" t="n">
        <v>45788</v>
      </c>
      <c r="D1245" t="inlineStr">
        <is>
          <t>VÄSTERBOTTENS LÄN</t>
        </is>
      </c>
      <c r="E1245" t="inlineStr">
        <is>
          <t>STORUMAN</t>
        </is>
      </c>
      <c r="F1245" t="inlineStr">
        <is>
          <t>Sveaskog</t>
        </is>
      </c>
      <c r="G1245" t="n">
        <v>3.4</v>
      </c>
      <c r="H1245" t="n">
        <v>0</v>
      </c>
      <c r="I1245" t="n">
        <v>1</v>
      </c>
      <c r="J1245" t="n">
        <v>0</v>
      </c>
      <c r="K1245" t="n">
        <v>0</v>
      </c>
      <c r="L1245" t="n">
        <v>0</v>
      </c>
      <c r="M1245" t="n">
        <v>0</v>
      </c>
      <c r="N1245" t="n">
        <v>0</v>
      </c>
      <c r="O1245" t="n">
        <v>0</v>
      </c>
      <c r="P1245" t="n">
        <v>0</v>
      </c>
      <c r="Q1245" t="n">
        <v>1</v>
      </c>
      <c r="R1245" s="2" t="inlineStr">
        <is>
          <t>Stuplav</t>
        </is>
      </c>
      <c r="S1245">
        <f>HYPERLINK("https://klasma.github.io/Logging_2421/artfynd/A 20192-2022 artfynd.xlsx", "A 20192-2022")</f>
        <v/>
      </c>
      <c r="T1245">
        <f>HYPERLINK("https://klasma.github.io/Logging_2421/kartor/A 20192-2022 karta.png", "A 20192-2022")</f>
        <v/>
      </c>
      <c r="V1245">
        <f>HYPERLINK("https://klasma.github.io/Logging_2421/klagomål/A 20192-2022 FSC-klagomål.docx", "A 20192-2022")</f>
        <v/>
      </c>
      <c r="W1245">
        <f>HYPERLINK("https://klasma.github.io/Logging_2421/klagomålsmail/A 20192-2022 FSC-klagomål mail.docx", "A 20192-2022")</f>
        <v/>
      </c>
      <c r="X1245">
        <f>HYPERLINK("https://klasma.github.io/Logging_2421/tillsyn/A 20192-2022 tillsynsbegäran.docx", "A 20192-2022")</f>
        <v/>
      </c>
      <c r="Y1245">
        <f>HYPERLINK("https://klasma.github.io/Logging_2421/tillsynsmail/A 20192-2022 tillsynsbegäran mail.docx", "A 20192-2022")</f>
        <v/>
      </c>
    </row>
    <row r="1246" ht="15" customHeight="1">
      <c r="A1246" t="inlineStr">
        <is>
          <t>A 23035-2022</t>
        </is>
      </c>
      <c r="B1246" s="1" t="n">
        <v>44715</v>
      </c>
      <c r="C1246" s="1" t="n">
        <v>45788</v>
      </c>
      <c r="D1246" t="inlineStr">
        <is>
          <t>VÄSTERBOTTENS LÄN</t>
        </is>
      </c>
      <c r="E1246" t="inlineStr">
        <is>
          <t>UMEÅ</t>
        </is>
      </c>
      <c r="G1246" t="n">
        <v>1.2</v>
      </c>
      <c r="H1246" t="n">
        <v>0</v>
      </c>
      <c r="I1246" t="n">
        <v>0</v>
      </c>
      <c r="J1246" t="n">
        <v>1</v>
      </c>
      <c r="K1246" t="n">
        <v>0</v>
      </c>
      <c r="L1246" t="n">
        <v>0</v>
      </c>
      <c r="M1246" t="n">
        <v>0</v>
      </c>
      <c r="N1246" t="n">
        <v>0</v>
      </c>
      <c r="O1246" t="n">
        <v>1</v>
      </c>
      <c r="P1246" t="n">
        <v>0</v>
      </c>
      <c r="Q1246" t="n">
        <v>1</v>
      </c>
      <c r="R1246" s="2" t="inlineStr">
        <is>
          <t>Granticka</t>
        </is>
      </c>
      <c r="S1246">
        <f>HYPERLINK("https://klasma.github.io/Logging_2480/artfynd/A 23035-2022 artfynd.xlsx", "A 23035-2022")</f>
        <v/>
      </c>
      <c r="T1246">
        <f>HYPERLINK("https://klasma.github.io/Logging_2480/kartor/A 23035-2022 karta.png", "A 23035-2022")</f>
        <v/>
      </c>
      <c r="V1246">
        <f>HYPERLINK("https://klasma.github.io/Logging_2480/klagomål/A 23035-2022 FSC-klagomål.docx", "A 23035-2022")</f>
        <v/>
      </c>
      <c r="W1246">
        <f>HYPERLINK("https://klasma.github.io/Logging_2480/klagomålsmail/A 23035-2022 FSC-klagomål mail.docx", "A 23035-2022")</f>
        <v/>
      </c>
      <c r="X1246">
        <f>HYPERLINK("https://klasma.github.io/Logging_2480/tillsyn/A 23035-2022 tillsynsbegäran.docx", "A 23035-2022")</f>
        <v/>
      </c>
      <c r="Y1246">
        <f>HYPERLINK("https://klasma.github.io/Logging_2480/tillsynsmail/A 23035-2022 tillsynsbegäran mail.docx", "A 23035-2022")</f>
        <v/>
      </c>
    </row>
    <row r="1247" ht="15" customHeight="1">
      <c r="A1247" t="inlineStr">
        <is>
          <t>A 23232-2022</t>
        </is>
      </c>
      <c r="B1247" s="1" t="n">
        <v>44719</v>
      </c>
      <c r="C1247" s="1" t="n">
        <v>45788</v>
      </c>
      <c r="D1247" t="inlineStr">
        <is>
          <t>VÄSTERBOTTENS LÄN</t>
        </is>
      </c>
      <c r="E1247" t="inlineStr">
        <is>
          <t>SORSELE</t>
        </is>
      </c>
      <c r="G1247" t="n">
        <v>11.5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HYPERLINK("https://klasma.github.io/Logging_2422/artfynd/A 23232-2022 artfynd.xlsx", "A 23232-2022")</f>
        <v/>
      </c>
      <c r="T1247">
        <f>HYPERLINK("https://klasma.github.io/Logging_2422/kartor/A 23232-2022 karta.png", "A 23232-2022")</f>
        <v/>
      </c>
      <c r="V1247">
        <f>HYPERLINK("https://klasma.github.io/Logging_2422/klagomål/A 23232-2022 FSC-klagomål.docx", "A 23232-2022")</f>
        <v/>
      </c>
      <c r="W1247">
        <f>HYPERLINK("https://klasma.github.io/Logging_2422/klagomålsmail/A 23232-2022 FSC-klagomål mail.docx", "A 23232-2022")</f>
        <v/>
      </c>
      <c r="X1247">
        <f>HYPERLINK("https://klasma.github.io/Logging_2422/tillsyn/A 23232-2022 tillsynsbegäran.docx", "A 23232-2022")</f>
        <v/>
      </c>
      <c r="Y1247">
        <f>HYPERLINK("https://klasma.github.io/Logging_2422/tillsynsmail/A 23232-2022 tillsynsbegäran mail.docx", "A 23232-2022")</f>
        <v/>
      </c>
      <c r="Z1247">
        <f>HYPERLINK("https://klasma.github.io/Logging_2422/fåglar/A 23232-2022 prioriterade fågelarter.docx", "A 23232-2022")</f>
        <v/>
      </c>
    </row>
    <row r="1248" ht="15" customHeight="1">
      <c r="A1248" t="inlineStr">
        <is>
          <t>A 23308-2022</t>
        </is>
      </c>
      <c r="B1248" s="1" t="n">
        <v>44720</v>
      </c>
      <c r="C1248" s="1" t="n">
        <v>45788</v>
      </c>
      <c r="D1248" t="inlineStr">
        <is>
          <t>VÄSTERBOTTENS LÄN</t>
        </is>
      </c>
      <c r="E1248" t="inlineStr">
        <is>
          <t>LYCKSELE</t>
        </is>
      </c>
      <c r="G1248" t="n">
        <v>2.4</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23308-2022 artfynd.xlsx", "A 23308-2022")</f>
        <v/>
      </c>
      <c r="T1248">
        <f>HYPERLINK("https://klasma.github.io/Logging_2481/kartor/A 23308-2022 karta.png", "A 23308-2022")</f>
        <v/>
      </c>
      <c r="V1248">
        <f>HYPERLINK("https://klasma.github.io/Logging_2481/klagomål/A 23308-2022 FSC-klagomål.docx", "A 23308-2022")</f>
        <v/>
      </c>
      <c r="W1248">
        <f>HYPERLINK("https://klasma.github.io/Logging_2481/klagomålsmail/A 23308-2022 FSC-klagomål mail.docx", "A 23308-2022")</f>
        <v/>
      </c>
      <c r="X1248">
        <f>HYPERLINK("https://klasma.github.io/Logging_2481/tillsyn/A 23308-2022 tillsynsbegäran.docx", "A 23308-2022")</f>
        <v/>
      </c>
      <c r="Y1248">
        <f>HYPERLINK("https://klasma.github.io/Logging_2481/tillsynsmail/A 23308-2022 tillsynsbegäran mail.docx", "A 23308-2022")</f>
        <v/>
      </c>
    </row>
    <row r="1249" ht="15" customHeight="1">
      <c r="A1249" t="inlineStr">
        <is>
          <t>A 23496-2022</t>
        </is>
      </c>
      <c r="B1249" s="1" t="n">
        <v>44721</v>
      </c>
      <c r="C1249" s="1" t="n">
        <v>45788</v>
      </c>
      <c r="D1249" t="inlineStr">
        <is>
          <t>VÄSTERBOTTENS LÄN</t>
        </is>
      </c>
      <c r="E1249" t="inlineStr">
        <is>
          <t>NORDMALING</t>
        </is>
      </c>
      <c r="G1249" t="n">
        <v>0.7</v>
      </c>
      <c r="H1249" t="n">
        <v>1</v>
      </c>
      <c r="I1249" t="n">
        <v>0</v>
      </c>
      <c r="J1249" t="n">
        <v>1</v>
      </c>
      <c r="K1249" t="n">
        <v>0</v>
      </c>
      <c r="L1249" t="n">
        <v>0</v>
      </c>
      <c r="M1249" t="n">
        <v>0</v>
      </c>
      <c r="N1249" t="n">
        <v>0</v>
      </c>
      <c r="O1249" t="n">
        <v>1</v>
      </c>
      <c r="P1249" t="n">
        <v>0</v>
      </c>
      <c r="Q1249" t="n">
        <v>1</v>
      </c>
      <c r="R1249" s="2" t="inlineStr">
        <is>
          <t>Järpe</t>
        </is>
      </c>
      <c r="S1249">
        <f>HYPERLINK("https://klasma.github.io/Logging_2401/artfynd/A 23496-2022 artfynd.xlsx", "A 23496-2022")</f>
        <v/>
      </c>
      <c r="T1249">
        <f>HYPERLINK("https://klasma.github.io/Logging_2401/kartor/A 23496-2022 karta.png", "A 23496-2022")</f>
        <v/>
      </c>
      <c r="V1249">
        <f>HYPERLINK("https://klasma.github.io/Logging_2401/klagomål/A 23496-2022 FSC-klagomål.docx", "A 23496-2022")</f>
        <v/>
      </c>
      <c r="W1249">
        <f>HYPERLINK("https://klasma.github.io/Logging_2401/klagomålsmail/A 23496-2022 FSC-klagomål mail.docx", "A 23496-2022")</f>
        <v/>
      </c>
      <c r="X1249">
        <f>HYPERLINK("https://klasma.github.io/Logging_2401/tillsyn/A 23496-2022 tillsynsbegäran.docx", "A 23496-2022")</f>
        <v/>
      </c>
      <c r="Y1249">
        <f>HYPERLINK("https://klasma.github.io/Logging_2401/tillsynsmail/A 23496-2022 tillsynsbegäran mail.docx", "A 23496-2022")</f>
        <v/>
      </c>
      <c r="Z1249">
        <f>HYPERLINK("https://klasma.github.io/Logging_2401/fåglar/A 23496-2022 prioriterade fågelarter.docx", "A 23496-2022")</f>
        <v/>
      </c>
    </row>
    <row r="1250" ht="15" customHeight="1">
      <c r="A1250" t="inlineStr">
        <is>
          <t>A 24807-2022</t>
        </is>
      </c>
      <c r="B1250" s="1" t="n">
        <v>44727</v>
      </c>
      <c r="C1250" s="1" t="n">
        <v>45788</v>
      </c>
      <c r="D1250" t="inlineStr">
        <is>
          <t>VÄSTERBOTTENS LÄN</t>
        </is>
      </c>
      <c r="E1250" t="inlineStr">
        <is>
          <t>ROBERTSFORS</t>
        </is>
      </c>
      <c r="G1250" t="n">
        <v>4.1</v>
      </c>
      <c r="H1250" t="n">
        <v>0</v>
      </c>
      <c r="I1250" t="n">
        <v>0</v>
      </c>
      <c r="J1250" t="n">
        <v>1</v>
      </c>
      <c r="K1250" t="n">
        <v>0</v>
      </c>
      <c r="L1250" t="n">
        <v>0</v>
      </c>
      <c r="M1250" t="n">
        <v>0</v>
      </c>
      <c r="N1250" t="n">
        <v>0</v>
      </c>
      <c r="O1250" t="n">
        <v>1</v>
      </c>
      <c r="P1250" t="n">
        <v>0</v>
      </c>
      <c r="Q1250" t="n">
        <v>1</v>
      </c>
      <c r="R1250" s="2" t="inlineStr">
        <is>
          <t>Granticka</t>
        </is>
      </c>
      <c r="S1250">
        <f>HYPERLINK("https://klasma.github.io/Logging_2409/artfynd/A 24807-2022 artfynd.xlsx", "A 24807-2022")</f>
        <v/>
      </c>
      <c r="T1250">
        <f>HYPERLINK("https://klasma.github.io/Logging_2409/kartor/A 24807-2022 karta.png", "A 24807-2022")</f>
        <v/>
      </c>
      <c r="V1250">
        <f>HYPERLINK("https://klasma.github.io/Logging_2409/klagomål/A 24807-2022 FSC-klagomål.docx", "A 24807-2022")</f>
        <v/>
      </c>
      <c r="W1250">
        <f>HYPERLINK("https://klasma.github.io/Logging_2409/klagomålsmail/A 24807-2022 FSC-klagomål mail.docx", "A 24807-2022")</f>
        <v/>
      </c>
      <c r="X1250">
        <f>HYPERLINK("https://klasma.github.io/Logging_2409/tillsyn/A 24807-2022 tillsynsbegäran.docx", "A 24807-2022")</f>
        <v/>
      </c>
      <c r="Y1250">
        <f>HYPERLINK("https://klasma.github.io/Logging_2409/tillsynsmail/A 24807-2022 tillsynsbegäran mail.docx", "A 24807-2022")</f>
        <v/>
      </c>
    </row>
    <row r="1251" ht="15" customHeight="1">
      <c r="A1251" t="inlineStr">
        <is>
          <t>A 24885-2022</t>
        </is>
      </c>
      <c r="B1251" s="1" t="n">
        <v>44728</v>
      </c>
      <c r="C1251" s="1" t="n">
        <v>45788</v>
      </c>
      <c r="D1251" t="inlineStr">
        <is>
          <t>VÄSTERBOTTENS LÄN</t>
        </is>
      </c>
      <c r="E1251" t="inlineStr">
        <is>
          <t>SKELLEFTEÅ</t>
        </is>
      </c>
      <c r="F1251" t="inlineStr">
        <is>
          <t>Holmen skog AB</t>
        </is>
      </c>
      <c r="G1251" t="n">
        <v>2.7</v>
      </c>
      <c r="H1251" t="n">
        <v>0</v>
      </c>
      <c r="I1251" t="n">
        <v>0</v>
      </c>
      <c r="J1251" t="n">
        <v>1</v>
      </c>
      <c r="K1251" t="n">
        <v>0</v>
      </c>
      <c r="L1251" t="n">
        <v>0</v>
      </c>
      <c r="M1251" t="n">
        <v>0</v>
      </c>
      <c r="N1251" t="n">
        <v>0</v>
      </c>
      <c r="O1251" t="n">
        <v>1</v>
      </c>
      <c r="P1251" t="n">
        <v>0</v>
      </c>
      <c r="Q1251" t="n">
        <v>1</v>
      </c>
      <c r="R1251" s="2" t="inlineStr">
        <is>
          <t>Lunglav</t>
        </is>
      </c>
      <c r="S1251">
        <f>HYPERLINK("https://klasma.github.io/Logging_2482/artfynd/A 24885-2022 artfynd.xlsx", "A 24885-2022")</f>
        <v/>
      </c>
      <c r="T1251">
        <f>HYPERLINK("https://klasma.github.io/Logging_2482/kartor/A 24885-2022 karta.png", "A 24885-2022")</f>
        <v/>
      </c>
      <c r="V1251">
        <f>HYPERLINK("https://klasma.github.io/Logging_2482/klagomål/A 24885-2022 FSC-klagomål.docx", "A 24885-2022")</f>
        <v/>
      </c>
      <c r="W1251">
        <f>HYPERLINK("https://klasma.github.io/Logging_2482/klagomålsmail/A 24885-2022 FSC-klagomål mail.docx", "A 24885-2022")</f>
        <v/>
      </c>
      <c r="X1251">
        <f>HYPERLINK("https://klasma.github.io/Logging_2482/tillsyn/A 24885-2022 tillsynsbegäran.docx", "A 24885-2022")</f>
        <v/>
      </c>
      <c r="Y1251">
        <f>HYPERLINK("https://klasma.github.io/Logging_2482/tillsynsmail/A 24885-2022 tillsynsbegäran mail.docx", "A 24885-2022")</f>
        <v/>
      </c>
    </row>
    <row r="1252" ht="15" customHeight="1">
      <c r="A1252" t="inlineStr">
        <is>
          <t>A 25702-2022</t>
        </is>
      </c>
      <c r="B1252" s="1" t="n">
        <v>44733</v>
      </c>
      <c r="C1252" s="1" t="n">
        <v>45788</v>
      </c>
      <c r="D1252" t="inlineStr">
        <is>
          <t>VÄSTERBOTTENS LÄN</t>
        </is>
      </c>
      <c r="E1252" t="inlineStr">
        <is>
          <t>UMEÅ</t>
        </is>
      </c>
      <c r="F1252" t="inlineStr">
        <is>
          <t>Holmen skog AB</t>
        </is>
      </c>
      <c r="G1252" t="n">
        <v>8.5</v>
      </c>
      <c r="H1252" t="n">
        <v>1</v>
      </c>
      <c r="I1252" t="n">
        <v>0</v>
      </c>
      <c r="J1252" t="n">
        <v>1</v>
      </c>
      <c r="K1252" t="n">
        <v>0</v>
      </c>
      <c r="L1252" t="n">
        <v>0</v>
      </c>
      <c r="M1252" t="n">
        <v>0</v>
      </c>
      <c r="N1252" t="n">
        <v>0</v>
      </c>
      <c r="O1252" t="n">
        <v>1</v>
      </c>
      <c r="P1252" t="n">
        <v>0</v>
      </c>
      <c r="Q1252" t="n">
        <v>1</v>
      </c>
      <c r="R1252" s="2" t="inlineStr">
        <is>
          <t>Järpe</t>
        </is>
      </c>
      <c r="S1252">
        <f>HYPERLINK("https://klasma.github.io/Logging_2480/artfynd/A 25702-2022 artfynd.xlsx", "A 25702-2022")</f>
        <v/>
      </c>
      <c r="T1252">
        <f>HYPERLINK("https://klasma.github.io/Logging_2480/kartor/A 25702-2022 karta.png", "A 25702-2022")</f>
        <v/>
      </c>
      <c r="V1252">
        <f>HYPERLINK("https://klasma.github.io/Logging_2480/klagomål/A 25702-2022 FSC-klagomål.docx", "A 25702-2022")</f>
        <v/>
      </c>
      <c r="W1252">
        <f>HYPERLINK("https://klasma.github.io/Logging_2480/klagomålsmail/A 25702-2022 FSC-klagomål mail.docx", "A 25702-2022")</f>
        <v/>
      </c>
      <c r="X1252">
        <f>HYPERLINK("https://klasma.github.io/Logging_2480/tillsyn/A 25702-2022 tillsynsbegäran.docx", "A 25702-2022")</f>
        <v/>
      </c>
      <c r="Y1252">
        <f>HYPERLINK("https://klasma.github.io/Logging_2480/tillsynsmail/A 25702-2022 tillsynsbegäran mail.docx", "A 25702-2022")</f>
        <v/>
      </c>
      <c r="Z1252">
        <f>HYPERLINK("https://klasma.github.io/Logging_2480/fåglar/A 25702-2022 prioriterade fågelarter.docx", "A 25702-2022")</f>
        <v/>
      </c>
    </row>
    <row r="1253" ht="15" customHeight="1">
      <c r="A1253" t="inlineStr">
        <is>
          <t>A 27583-2022</t>
        </is>
      </c>
      <c r="B1253" s="1" t="n">
        <v>44742</v>
      </c>
      <c r="C1253" s="1" t="n">
        <v>45788</v>
      </c>
      <c r="D1253" t="inlineStr">
        <is>
          <t>VÄSTERBOTTENS LÄN</t>
        </is>
      </c>
      <c r="E1253" t="inlineStr">
        <is>
          <t>VINDELN</t>
        </is>
      </c>
      <c r="F1253" t="inlineStr">
        <is>
          <t>SCA</t>
        </is>
      </c>
      <c r="G1253" t="n">
        <v>2.1</v>
      </c>
      <c r="H1253" t="n">
        <v>0</v>
      </c>
      <c r="I1253" t="n">
        <v>0</v>
      </c>
      <c r="J1253" t="n">
        <v>1</v>
      </c>
      <c r="K1253" t="n">
        <v>0</v>
      </c>
      <c r="L1253" t="n">
        <v>0</v>
      </c>
      <c r="M1253" t="n">
        <v>0</v>
      </c>
      <c r="N1253" t="n">
        <v>0</v>
      </c>
      <c r="O1253" t="n">
        <v>1</v>
      </c>
      <c r="P1253" t="n">
        <v>0</v>
      </c>
      <c r="Q1253" t="n">
        <v>1</v>
      </c>
      <c r="R1253" s="2" t="inlineStr">
        <is>
          <t>Ullticka</t>
        </is>
      </c>
      <c r="S1253">
        <f>HYPERLINK("https://klasma.github.io/Logging_2404/artfynd/A 27583-2022 artfynd.xlsx", "A 27583-2022")</f>
        <v/>
      </c>
      <c r="T1253">
        <f>HYPERLINK("https://klasma.github.io/Logging_2404/kartor/A 27583-2022 karta.png", "A 27583-2022")</f>
        <v/>
      </c>
      <c r="V1253">
        <f>HYPERLINK("https://klasma.github.io/Logging_2404/klagomål/A 27583-2022 FSC-klagomål.docx", "A 27583-2022")</f>
        <v/>
      </c>
      <c r="W1253">
        <f>HYPERLINK("https://klasma.github.io/Logging_2404/klagomålsmail/A 27583-2022 FSC-klagomål mail.docx", "A 27583-2022")</f>
        <v/>
      </c>
      <c r="X1253">
        <f>HYPERLINK("https://klasma.github.io/Logging_2404/tillsyn/A 27583-2022 tillsynsbegäran.docx", "A 27583-2022")</f>
        <v/>
      </c>
      <c r="Y1253">
        <f>HYPERLINK("https://klasma.github.io/Logging_2404/tillsynsmail/A 27583-2022 tillsynsbegäran mail.docx", "A 27583-2022")</f>
        <v/>
      </c>
    </row>
    <row r="1254" ht="15" customHeight="1">
      <c r="A1254" t="inlineStr">
        <is>
          <t>A 30809-2022</t>
        </is>
      </c>
      <c r="B1254" s="1" t="n">
        <v>44764</v>
      </c>
      <c r="C1254" s="1" t="n">
        <v>45788</v>
      </c>
      <c r="D1254" t="inlineStr">
        <is>
          <t>VÄSTERBOTTENS LÄN</t>
        </is>
      </c>
      <c r="E1254" t="inlineStr">
        <is>
          <t>ÅSELE</t>
        </is>
      </c>
      <c r="F1254" t="inlineStr">
        <is>
          <t>SCA</t>
        </is>
      </c>
      <c r="G1254" t="n">
        <v>10.6</v>
      </c>
      <c r="H1254" t="n">
        <v>1</v>
      </c>
      <c r="I1254" t="n">
        <v>0</v>
      </c>
      <c r="J1254" t="n">
        <v>1</v>
      </c>
      <c r="K1254" t="n">
        <v>0</v>
      </c>
      <c r="L1254" t="n">
        <v>0</v>
      </c>
      <c r="M1254" t="n">
        <v>0</v>
      </c>
      <c r="N1254" t="n">
        <v>0</v>
      </c>
      <c r="O1254" t="n">
        <v>1</v>
      </c>
      <c r="P1254" t="n">
        <v>0</v>
      </c>
      <c r="Q1254" t="n">
        <v>1</v>
      </c>
      <c r="R1254" s="2" t="inlineStr">
        <is>
          <t>Buskskvätta</t>
        </is>
      </c>
      <c r="S1254">
        <f>HYPERLINK("https://klasma.github.io/Logging_2463/artfynd/A 30809-2022 artfynd.xlsx", "A 30809-2022")</f>
        <v/>
      </c>
      <c r="T1254">
        <f>HYPERLINK("https://klasma.github.io/Logging_2463/kartor/A 30809-2022 karta.png", "A 30809-2022")</f>
        <v/>
      </c>
      <c r="V1254">
        <f>HYPERLINK("https://klasma.github.io/Logging_2463/klagomål/A 30809-2022 FSC-klagomål.docx", "A 30809-2022")</f>
        <v/>
      </c>
      <c r="W1254">
        <f>HYPERLINK("https://klasma.github.io/Logging_2463/klagomålsmail/A 30809-2022 FSC-klagomål mail.docx", "A 30809-2022")</f>
        <v/>
      </c>
      <c r="X1254">
        <f>HYPERLINK("https://klasma.github.io/Logging_2463/tillsyn/A 30809-2022 tillsynsbegäran.docx", "A 30809-2022")</f>
        <v/>
      </c>
      <c r="Y1254">
        <f>HYPERLINK("https://klasma.github.io/Logging_2463/tillsynsmail/A 30809-2022 tillsynsbegäran mail.docx", "A 30809-2022")</f>
        <v/>
      </c>
      <c r="Z1254">
        <f>HYPERLINK("https://klasma.github.io/Logging_2463/fåglar/A 30809-2022 prioriterade fågelarter.docx", "A 30809-2022")</f>
        <v/>
      </c>
    </row>
    <row r="1255" ht="15" customHeight="1">
      <c r="A1255" t="inlineStr">
        <is>
          <t>A 31318-2022</t>
        </is>
      </c>
      <c r="B1255" s="1" t="n">
        <v>44772</v>
      </c>
      <c r="C1255" s="1" t="n">
        <v>45788</v>
      </c>
      <c r="D1255" t="inlineStr">
        <is>
          <t>VÄSTERBOTTENS LÄN</t>
        </is>
      </c>
      <c r="E1255" t="inlineStr">
        <is>
          <t>UMEÅ</t>
        </is>
      </c>
      <c r="G1255" t="n">
        <v>11.3</v>
      </c>
      <c r="H1255" t="n">
        <v>1</v>
      </c>
      <c r="I1255" t="n">
        <v>0</v>
      </c>
      <c r="J1255" t="n">
        <v>1</v>
      </c>
      <c r="K1255" t="n">
        <v>0</v>
      </c>
      <c r="L1255" t="n">
        <v>0</v>
      </c>
      <c r="M1255" t="n">
        <v>0</v>
      </c>
      <c r="N1255" t="n">
        <v>0</v>
      </c>
      <c r="O1255" t="n">
        <v>1</v>
      </c>
      <c r="P1255" t="n">
        <v>0</v>
      </c>
      <c r="Q1255" t="n">
        <v>1</v>
      </c>
      <c r="R1255" s="2" t="inlineStr">
        <is>
          <t>Sävsparv</t>
        </is>
      </c>
      <c r="S1255">
        <f>HYPERLINK("https://klasma.github.io/Logging_2480/artfynd/A 31318-2022 artfynd.xlsx", "A 31318-2022")</f>
        <v/>
      </c>
      <c r="T1255">
        <f>HYPERLINK("https://klasma.github.io/Logging_2480/kartor/A 31318-2022 karta.png", "A 31318-2022")</f>
        <v/>
      </c>
      <c r="V1255">
        <f>HYPERLINK("https://klasma.github.io/Logging_2480/klagomål/A 31318-2022 FSC-klagomål.docx", "A 31318-2022")</f>
        <v/>
      </c>
      <c r="W1255">
        <f>HYPERLINK("https://klasma.github.io/Logging_2480/klagomålsmail/A 31318-2022 FSC-klagomål mail.docx", "A 31318-2022")</f>
        <v/>
      </c>
      <c r="X1255">
        <f>HYPERLINK("https://klasma.github.io/Logging_2480/tillsyn/A 31318-2022 tillsynsbegäran.docx", "A 31318-2022")</f>
        <v/>
      </c>
      <c r="Y1255">
        <f>HYPERLINK("https://klasma.github.io/Logging_2480/tillsynsmail/A 31318-2022 tillsynsbegäran mail.docx", "A 31318-2022")</f>
        <v/>
      </c>
      <c r="Z1255">
        <f>HYPERLINK("https://klasma.github.io/Logging_2480/fåglar/A 31318-2022 prioriterade fågelarter.docx", "A 31318-2022")</f>
        <v/>
      </c>
    </row>
    <row r="1256" ht="15" customHeight="1">
      <c r="A1256" t="inlineStr">
        <is>
          <t>A 32638-2022</t>
        </is>
      </c>
      <c r="B1256" s="1" t="n">
        <v>44783</v>
      </c>
      <c r="C1256" s="1" t="n">
        <v>45788</v>
      </c>
      <c r="D1256" t="inlineStr">
        <is>
          <t>VÄSTERBOTTENS LÄN</t>
        </is>
      </c>
      <c r="E1256" t="inlineStr">
        <is>
          <t>LYCKSELE</t>
        </is>
      </c>
      <c r="F1256" t="inlineStr">
        <is>
          <t>Holmen skog AB</t>
        </is>
      </c>
      <c r="G1256" t="n">
        <v>4.2</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32638-2022 artfynd.xlsx", "A 32638-2022")</f>
        <v/>
      </c>
      <c r="T1256">
        <f>HYPERLINK("https://klasma.github.io/Logging_2481/kartor/A 32638-2022 karta.png", "A 32638-2022")</f>
        <v/>
      </c>
      <c r="V1256">
        <f>HYPERLINK("https://klasma.github.io/Logging_2481/klagomål/A 32638-2022 FSC-klagomål.docx", "A 32638-2022")</f>
        <v/>
      </c>
      <c r="W1256">
        <f>HYPERLINK("https://klasma.github.io/Logging_2481/klagomålsmail/A 32638-2022 FSC-klagomål mail.docx", "A 32638-2022")</f>
        <v/>
      </c>
      <c r="X1256">
        <f>HYPERLINK("https://klasma.github.io/Logging_2481/tillsyn/A 32638-2022 tillsynsbegäran.docx", "A 32638-2022")</f>
        <v/>
      </c>
      <c r="Y1256">
        <f>HYPERLINK("https://klasma.github.io/Logging_2481/tillsynsmail/A 32638-2022 tillsynsbegäran mail.docx", "A 32638-2022")</f>
        <v/>
      </c>
    </row>
    <row r="1257" ht="15" customHeight="1">
      <c r="A1257" t="inlineStr">
        <is>
          <t>A 34810-2022</t>
        </is>
      </c>
      <c r="B1257" s="1" t="n">
        <v>44795</v>
      </c>
      <c r="C1257" s="1" t="n">
        <v>45788</v>
      </c>
      <c r="D1257" t="inlineStr">
        <is>
          <t>VÄSTERBOTTENS LÄN</t>
        </is>
      </c>
      <c r="E1257" t="inlineStr">
        <is>
          <t>LYCKSELE</t>
        </is>
      </c>
      <c r="F1257" t="inlineStr">
        <is>
          <t>SCA</t>
        </is>
      </c>
      <c r="G1257" t="n">
        <v>2.3</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34810-2022 artfynd.xlsx", "A 34810-2022")</f>
        <v/>
      </c>
      <c r="T1257">
        <f>HYPERLINK("https://klasma.github.io/Logging_2481/kartor/A 34810-2022 karta.png", "A 34810-2022")</f>
        <v/>
      </c>
      <c r="V1257">
        <f>HYPERLINK("https://klasma.github.io/Logging_2481/klagomål/A 34810-2022 FSC-klagomål.docx", "A 34810-2022")</f>
        <v/>
      </c>
      <c r="W1257">
        <f>HYPERLINK("https://klasma.github.io/Logging_2481/klagomålsmail/A 34810-2022 FSC-klagomål mail.docx", "A 34810-2022")</f>
        <v/>
      </c>
      <c r="X1257">
        <f>HYPERLINK("https://klasma.github.io/Logging_2481/tillsyn/A 34810-2022 tillsynsbegäran.docx", "A 34810-2022")</f>
        <v/>
      </c>
      <c r="Y1257">
        <f>HYPERLINK("https://klasma.github.io/Logging_2481/tillsynsmail/A 34810-2022 tillsynsbegäran mail.docx", "A 34810-2022")</f>
        <v/>
      </c>
    </row>
    <row r="1258" ht="15" customHeight="1">
      <c r="A1258" t="inlineStr">
        <is>
          <t>A 34809-2022</t>
        </is>
      </c>
      <c r="B1258" s="1" t="n">
        <v>44795</v>
      </c>
      <c r="C1258" s="1" t="n">
        <v>45788</v>
      </c>
      <c r="D1258" t="inlineStr">
        <is>
          <t>VÄSTERBOTTENS LÄN</t>
        </is>
      </c>
      <c r="E1258" t="inlineStr">
        <is>
          <t>LYCKSELE</t>
        </is>
      </c>
      <c r="F1258" t="inlineStr">
        <is>
          <t>SCA</t>
        </is>
      </c>
      <c r="G1258" t="n">
        <v>1</v>
      </c>
      <c r="H1258" t="n">
        <v>0</v>
      </c>
      <c r="I1258" t="n">
        <v>0</v>
      </c>
      <c r="J1258" t="n">
        <v>1</v>
      </c>
      <c r="K1258" t="n">
        <v>0</v>
      </c>
      <c r="L1258" t="n">
        <v>0</v>
      </c>
      <c r="M1258" t="n">
        <v>0</v>
      </c>
      <c r="N1258" t="n">
        <v>0</v>
      </c>
      <c r="O1258" t="n">
        <v>1</v>
      </c>
      <c r="P1258" t="n">
        <v>0</v>
      </c>
      <c r="Q1258" t="n">
        <v>1</v>
      </c>
      <c r="R1258" s="2" t="inlineStr">
        <is>
          <t>Gammelgransskål</t>
        </is>
      </c>
      <c r="S1258">
        <f>HYPERLINK("https://klasma.github.io/Logging_2481/artfynd/A 34809-2022 artfynd.xlsx", "A 34809-2022")</f>
        <v/>
      </c>
      <c r="T1258">
        <f>HYPERLINK("https://klasma.github.io/Logging_2481/kartor/A 34809-2022 karta.png", "A 34809-2022")</f>
        <v/>
      </c>
      <c r="V1258">
        <f>HYPERLINK("https://klasma.github.io/Logging_2481/klagomål/A 34809-2022 FSC-klagomål.docx", "A 34809-2022")</f>
        <v/>
      </c>
      <c r="W1258">
        <f>HYPERLINK("https://klasma.github.io/Logging_2481/klagomålsmail/A 34809-2022 FSC-klagomål mail.docx", "A 34809-2022")</f>
        <v/>
      </c>
      <c r="X1258">
        <f>HYPERLINK("https://klasma.github.io/Logging_2481/tillsyn/A 34809-2022 tillsynsbegäran.docx", "A 34809-2022")</f>
        <v/>
      </c>
      <c r="Y1258">
        <f>HYPERLINK("https://klasma.github.io/Logging_2481/tillsynsmail/A 34809-2022 tillsynsbegäran mail.docx", "A 34809-2022")</f>
        <v/>
      </c>
    </row>
    <row r="1259" ht="15" customHeight="1">
      <c r="A1259" t="inlineStr">
        <is>
          <t>A 36531-2022</t>
        </is>
      </c>
      <c r="B1259" s="1" t="n">
        <v>44804</v>
      </c>
      <c r="C1259" s="1" t="n">
        <v>45788</v>
      </c>
      <c r="D1259" t="inlineStr">
        <is>
          <t>VÄSTERBOTTENS LÄN</t>
        </is>
      </c>
      <c r="E1259" t="inlineStr">
        <is>
          <t>SKELLEFTEÅ</t>
        </is>
      </c>
      <c r="F1259" t="inlineStr">
        <is>
          <t>Kommuner</t>
        </is>
      </c>
      <c r="G1259" t="n">
        <v>3.1</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HYPERLINK("https://klasma.github.io/Logging_2482/artfynd/A 36531-2022 artfynd.xlsx", "A 36531-2022")</f>
        <v/>
      </c>
      <c r="T1259">
        <f>HYPERLINK("https://klasma.github.io/Logging_2482/kartor/A 36531-2022 karta.png", "A 36531-2022")</f>
        <v/>
      </c>
      <c r="V1259">
        <f>HYPERLINK("https://klasma.github.io/Logging_2482/klagomål/A 36531-2022 FSC-klagomål.docx", "A 36531-2022")</f>
        <v/>
      </c>
      <c r="W1259">
        <f>HYPERLINK("https://klasma.github.io/Logging_2482/klagomålsmail/A 36531-2022 FSC-klagomål mail.docx", "A 36531-2022")</f>
        <v/>
      </c>
      <c r="X1259">
        <f>HYPERLINK("https://klasma.github.io/Logging_2482/tillsyn/A 36531-2022 tillsynsbegäran.docx", "A 36531-2022")</f>
        <v/>
      </c>
      <c r="Y1259">
        <f>HYPERLINK("https://klasma.github.io/Logging_2482/tillsynsmail/A 36531-2022 tillsynsbegäran mail.docx", "A 36531-2022")</f>
        <v/>
      </c>
    </row>
    <row r="1260" ht="15" customHeight="1">
      <c r="A1260" t="inlineStr">
        <is>
          <t>A 38421-2022</t>
        </is>
      </c>
      <c r="B1260" s="1" t="n">
        <v>44812</v>
      </c>
      <c r="C1260" s="1" t="n">
        <v>45788</v>
      </c>
      <c r="D1260" t="inlineStr">
        <is>
          <t>VÄSTERBOTTENS LÄN</t>
        </is>
      </c>
      <c r="E1260" t="inlineStr">
        <is>
          <t>VILHELMINA</t>
        </is>
      </c>
      <c r="F1260" t="inlineStr">
        <is>
          <t>SCA</t>
        </is>
      </c>
      <c r="G1260" t="n">
        <v>3.2</v>
      </c>
      <c r="H1260" t="n">
        <v>0</v>
      </c>
      <c r="I1260" t="n">
        <v>0</v>
      </c>
      <c r="J1260" t="n">
        <v>1</v>
      </c>
      <c r="K1260" t="n">
        <v>0</v>
      </c>
      <c r="L1260" t="n">
        <v>0</v>
      </c>
      <c r="M1260" t="n">
        <v>0</v>
      </c>
      <c r="N1260" t="n">
        <v>0</v>
      </c>
      <c r="O1260" t="n">
        <v>1</v>
      </c>
      <c r="P1260" t="n">
        <v>0</v>
      </c>
      <c r="Q1260" t="n">
        <v>1</v>
      </c>
      <c r="R1260" s="2" t="inlineStr">
        <is>
          <t>Ullticka</t>
        </is>
      </c>
      <c r="S1260">
        <f>HYPERLINK("https://klasma.github.io/Logging_2462/artfynd/A 38421-2022 artfynd.xlsx", "A 38421-2022")</f>
        <v/>
      </c>
      <c r="T1260">
        <f>HYPERLINK("https://klasma.github.io/Logging_2462/kartor/A 38421-2022 karta.png", "A 38421-2022")</f>
        <v/>
      </c>
      <c r="V1260">
        <f>HYPERLINK("https://klasma.github.io/Logging_2462/klagomål/A 38421-2022 FSC-klagomål.docx", "A 38421-2022")</f>
        <v/>
      </c>
      <c r="W1260">
        <f>HYPERLINK("https://klasma.github.io/Logging_2462/klagomålsmail/A 38421-2022 FSC-klagomål mail.docx", "A 38421-2022")</f>
        <v/>
      </c>
      <c r="X1260">
        <f>HYPERLINK("https://klasma.github.io/Logging_2462/tillsyn/A 38421-2022 tillsynsbegäran.docx", "A 38421-2022")</f>
        <v/>
      </c>
      <c r="Y1260">
        <f>HYPERLINK("https://klasma.github.io/Logging_2462/tillsynsmail/A 38421-2022 tillsynsbegäran mail.docx", "A 38421-2022")</f>
        <v/>
      </c>
    </row>
    <row r="1261" ht="15" customHeight="1">
      <c r="A1261" t="inlineStr">
        <is>
          <t>A 39380-2022</t>
        </is>
      </c>
      <c r="B1261" s="1" t="n">
        <v>44817</v>
      </c>
      <c r="C1261" s="1" t="n">
        <v>45788</v>
      </c>
      <c r="D1261" t="inlineStr">
        <is>
          <t>VÄSTERBOTTENS LÄN</t>
        </is>
      </c>
      <c r="E1261" t="inlineStr">
        <is>
          <t>ÅSELE</t>
        </is>
      </c>
      <c r="F1261" t="inlineStr">
        <is>
          <t>SCA</t>
        </is>
      </c>
      <c r="G1261" t="n">
        <v>2.4</v>
      </c>
      <c r="H1261" t="n">
        <v>1</v>
      </c>
      <c r="I1261" t="n">
        <v>1</v>
      </c>
      <c r="J1261" t="n">
        <v>0</v>
      </c>
      <c r="K1261" t="n">
        <v>0</v>
      </c>
      <c r="L1261" t="n">
        <v>0</v>
      </c>
      <c r="M1261" t="n">
        <v>0</v>
      </c>
      <c r="N1261" t="n">
        <v>0</v>
      </c>
      <c r="O1261" t="n">
        <v>0</v>
      </c>
      <c r="P1261" t="n">
        <v>0</v>
      </c>
      <c r="Q1261" t="n">
        <v>1</v>
      </c>
      <c r="R1261" s="2" t="inlineStr">
        <is>
          <t>Lappranunkel</t>
        </is>
      </c>
      <c r="S1261">
        <f>HYPERLINK("https://klasma.github.io/Logging_2463/artfynd/A 39380-2022 artfynd.xlsx", "A 39380-2022")</f>
        <v/>
      </c>
      <c r="T1261">
        <f>HYPERLINK("https://klasma.github.io/Logging_2463/kartor/A 39380-2022 karta.png", "A 39380-2022")</f>
        <v/>
      </c>
      <c r="V1261">
        <f>HYPERLINK("https://klasma.github.io/Logging_2463/klagomål/A 39380-2022 FSC-klagomål.docx", "A 39380-2022")</f>
        <v/>
      </c>
      <c r="W1261">
        <f>HYPERLINK("https://klasma.github.io/Logging_2463/klagomålsmail/A 39380-2022 FSC-klagomål mail.docx", "A 39380-2022")</f>
        <v/>
      </c>
      <c r="X1261">
        <f>HYPERLINK("https://klasma.github.io/Logging_2463/tillsyn/A 39380-2022 tillsynsbegäran.docx", "A 39380-2022")</f>
        <v/>
      </c>
      <c r="Y1261">
        <f>HYPERLINK("https://klasma.github.io/Logging_2463/tillsynsmail/A 39380-2022 tillsynsbegäran mail.docx", "A 39380-2022")</f>
        <v/>
      </c>
    </row>
    <row r="1262" ht="15" customHeight="1">
      <c r="A1262" t="inlineStr">
        <is>
          <t>A 40133-2022</t>
        </is>
      </c>
      <c r="B1262" s="1" t="n">
        <v>44820</v>
      </c>
      <c r="C1262" s="1" t="n">
        <v>45788</v>
      </c>
      <c r="D1262" t="inlineStr">
        <is>
          <t>VÄSTERBOTTENS LÄN</t>
        </is>
      </c>
      <c r="E1262" t="inlineStr">
        <is>
          <t>LYCKSELE</t>
        </is>
      </c>
      <c r="F1262" t="inlineStr">
        <is>
          <t>Sveaskog</t>
        </is>
      </c>
      <c r="G1262" t="n">
        <v>15.3</v>
      </c>
      <c r="H1262" t="n">
        <v>0</v>
      </c>
      <c r="I1262" t="n">
        <v>0</v>
      </c>
      <c r="J1262" t="n">
        <v>0</v>
      </c>
      <c r="K1262" t="n">
        <v>1</v>
      </c>
      <c r="L1262" t="n">
        <v>0</v>
      </c>
      <c r="M1262" t="n">
        <v>0</v>
      </c>
      <c r="N1262" t="n">
        <v>0</v>
      </c>
      <c r="O1262" t="n">
        <v>1</v>
      </c>
      <c r="P1262" t="n">
        <v>1</v>
      </c>
      <c r="Q1262" t="n">
        <v>1</v>
      </c>
      <c r="R1262" s="2" t="inlineStr">
        <is>
          <t>Gräddporing</t>
        </is>
      </c>
      <c r="S1262">
        <f>HYPERLINK("https://klasma.github.io/Logging_2481/artfynd/A 40133-2022 artfynd.xlsx", "A 40133-2022")</f>
        <v/>
      </c>
      <c r="T1262">
        <f>HYPERLINK("https://klasma.github.io/Logging_2481/kartor/A 40133-2022 karta.png", "A 40133-2022")</f>
        <v/>
      </c>
      <c r="V1262">
        <f>HYPERLINK("https://klasma.github.io/Logging_2481/klagomål/A 40133-2022 FSC-klagomål.docx", "A 40133-2022")</f>
        <v/>
      </c>
      <c r="W1262">
        <f>HYPERLINK("https://klasma.github.io/Logging_2481/klagomålsmail/A 40133-2022 FSC-klagomål mail.docx", "A 40133-2022")</f>
        <v/>
      </c>
      <c r="X1262">
        <f>HYPERLINK("https://klasma.github.io/Logging_2481/tillsyn/A 40133-2022 tillsynsbegäran.docx", "A 40133-2022")</f>
        <v/>
      </c>
      <c r="Y1262">
        <f>HYPERLINK("https://klasma.github.io/Logging_2481/tillsynsmail/A 40133-2022 tillsynsbegäran mail.docx", "A 40133-2022")</f>
        <v/>
      </c>
    </row>
    <row r="1263" ht="15" customHeight="1">
      <c r="A1263" t="inlineStr">
        <is>
          <t>A 40328-2022</t>
        </is>
      </c>
      <c r="B1263" s="1" t="n">
        <v>44823</v>
      </c>
      <c r="C1263" s="1" t="n">
        <v>45788</v>
      </c>
      <c r="D1263" t="inlineStr">
        <is>
          <t>VÄSTERBOTTENS LÄN</t>
        </is>
      </c>
      <c r="E1263" t="inlineStr">
        <is>
          <t>ÅSELE</t>
        </is>
      </c>
      <c r="G1263" t="n">
        <v>5</v>
      </c>
      <c r="H1263" t="n">
        <v>1</v>
      </c>
      <c r="I1263" t="n">
        <v>0</v>
      </c>
      <c r="J1263" t="n">
        <v>1</v>
      </c>
      <c r="K1263" t="n">
        <v>0</v>
      </c>
      <c r="L1263" t="n">
        <v>0</v>
      </c>
      <c r="M1263" t="n">
        <v>0</v>
      </c>
      <c r="N1263" t="n">
        <v>0</v>
      </c>
      <c r="O1263" t="n">
        <v>1</v>
      </c>
      <c r="P1263" t="n">
        <v>0</v>
      </c>
      <c r="Q1263" t="n">
        <v>1</v>
      </c>
      <c r="R1263" s="2" t="inlineStr">
        <is>
          <t>Utter</t>
        </is>
      </c>
      <c r="S1263">
        <f>HYPERLINK("https://klasma.github.io/Logging_2463/artfynd/A 40328-2022 artfynd.xlsx", "A 40328-2022")</f>
        <v/>
      </c>
      <c r="T1263">
        <f>HYPERLINK("https://klasma.github.io/Logging_2463/kartor/A 40328-2022 karta.png", "A 40328-2022")</f>
        <v/>
      </c>
      <c r="V1263">
        <f>HYPERLINK("https://klasma.github.io/Logging_2463/klagomål/A 40328-2022 FSC-klagomål.docx", "A 40328-2022")</f>
        <v/>
      </c>
      <c r="W1263">
        <f>HYPERLINK("https://klasma.github.io/Logging_2463/klagomålsmail/A 40328-2022 FSC-klagomål mail.docx", "A 40328-2022")</f>
        <v/>
      </c>
      <c r="X1263">
        <f>HYPERLINK("https://klasma.github.io/Logging_2463/tillsyn/A 40328-2022 tillsynsbegäran.docx", "A 40328-2022")</f>
        <v/>
      </c>
      <c r="Y1263">
        <f>HYPERLINK("https://klasma.github.io/Logging_2463/tillsynsmail/A 40328-2022 tillsynsbegäran mail.docx", "A 40328-2022")</f>
        <v/>
      </c>
    </row>
    <row r="1264" ht="15" customHeight="1">
      <c r="A1264" t="inlineStr">
        <is>
          <t>A 41483-2022</t>
        </is>
      </c>
      <c r="B1264" s="1" t="n">
        <v>44827</v>
      </c>
      <c r="C1264" s="1" t="n">
        <v>45788</v>
      </c>
      <c r="D1264" t="inlineStr">
        <is>
          <t>VÄSTERBOTTENS LÄN</t>
        </is>
      </c>
      <c r="E1264" t="inlineStr">
        <is>
          <t>VILHELMINA</t>
        </is>
      </c>
      <c r="F1264" t="inlineStr">
        <is>
          <t>SCA</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HYPERLINK("https://klasma.github.io/Logging_2462/artfynd/A 41483-2022 artfynd.xlsx", "A 41483-2022")</f>
        <v/>
      </c>
      <c r="T1264">
        <f>HYPERLINK("https://klasma.github.io/Logging_2462/kartor/A 41483-2022 karta.png", "A 41483-2022")</f>
        <v/>
      </c>
      <c r="V1264">
        <f>HYPERLINK("https://klasma.github.io/Logging_2462/klagomål/A 41483-2022 FSC-klagomål.docx", "A 41483-2022")</f>
        <v/>
      </c>
      <c r="W1264">
        <f>HYPERLINK("https://klasma.github.io/Logging_2462/klagomålsmail/A 41483-2022 FSC-klagomål mail.docx", "A 41483-2022")</f>
        <v/>
      </c>
      <c r="X1264">
        <f>HYPERLINK("https://klasma.github.io/Logging_2462/tillsyn/A 41483-2022 tillsynsbegäran.docx", "A 41483-2022")</f>
        <v/>
      </c>
      <c r="Y1264">
        <f>HYPERLINK("https://klasma.github.io/Logging_2462/tillsynsmail/A 41483-2022 tillsynsbegäran mail.docx", "A 41483-2022")</f>
        <v/>
      </c>
      <c r="Z1264">
        <f>HYPERLINK("https://klasma.github.io/Logging_2462/fåglar/A 41483-2022 prioriterade fågelarter.docx", "A 41483-2022")</f>
        <v/>
      </c>
    </row>
    <row r="1265" ht="15" customHeight="1">
      <c r="A1265" t="inlineStr">
        <is>
          <t>A 42674-2022</t>
        </is>
      </c>
      <c r="B1265" s="1" t="n">
        <v>44831</v>
      </c>
      <c r="C1265" s="1" t="n">
        <v>45788</v>
      </c>
      <c r="D1265" t="inlineStr">
        <is>
          <t>VÄSTERBOTTENS LÄN</t>
        </is>
      </c>
      <c r="E1265" t="inlineStr">
        <is>
          <t>SKELLEFTEÅ</t>
        </is>
      </c>
      <c r="G1265" t="n">
        <v>4.4</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42674-2022 artfynd.xlsx", "A 42674-2022")</f>
        <v/>
      </c>
      <c r="T1265">
        <f>HYPERLINK("https://klasma.github.io/Logging_2482/kartor/A 42674-2022 karta.png", "A 42674-2022")</f>
        <v/>
      </c>
      <c r="V1265">
        <f>HYPERLINK("https://klasma.github.io/Logging_2482/klagomål/A 42674-2022 FSC-klagomål.docx", "A 42674-2022")</f>
        <v/>
      </c>
      <c r="W1265">
        <f>HYPERLINK("https://klasma.github.io/Logging_2482/klagomålsmail/A 42674-2022 FSC-klagomål mail.docx", "A 42674-2022")</f>
        <v/>
      </c>
      <c r="X1265">
        <f>HYPERLINK("https://klasma.github.io/Logging_2482/tillsyn/A 42674-2022 tillsynsbegäran.docx", "A 42674-2022")</f>
        <v/>
      </c>
      <c r="Y1265">
        <f>HYPERLINK("https://klasma.github.io/Logging_2482/tillsynsmail/A 42674-2022 tillsynsbegäran mail.docx", "A 42674-2022")</f>
        <v/>
      </c>
    </row>
    <row r="1266" ht="15" customHeight="1">
      <c r="A1266" t="inlineStr">
        <is>
          <t>A 43418-2022</t>
        </is>
      </c>
      <c r="B1266" s="1" t="n">
        <v>44834</v>
      </c>
      <c r="C1266" s="1" t="n">
        <v>45788</v>
      </c>
      <c r="D1266" t="inlineStr">
        <is>
          <t>VÄSTERBOTTENS LÄN</t>
        </is>
      </c>
      <c r="E1266" t="inlineStr">
        <is>
          <t>LYCKSELE</t>
        </is>
      </c>
      <c r="F1266" t="inlineStr">
        <is>
          <t>SCA</t>
        </is>
      </c>
      <c r="G1266" t="n">
        <v>8.4</v>
      </c>
      <c r="H1266" t="n">
        <v>0</v>
      </c>
      <c r="I1266" t="n">
        <v>1</v>
      </c>
      <c r="J1266" t="n">
        <v>0</v>
      </c>
      <c r="K1266" t="n">
        <v>0</v>
      </c>
      <c r="L1266" t="n">
        <v>0</v>
      </c>
      <c r="M1266" t="n">
        <v>0</v>
      </c>
      <c r="N1266" t="n">
        <v>0</v>
      </c>
      <c r="O1266" t="n">
        <v>0</v>
      </c>
      <c r="P1266" t="n">
        <v>0</v>
      </c>
      <c r="Q1266" t="n">
        <v>1</v>
      </c>
      <c r="R1266" s="2" t="inlineStr">
        <is>
          <t>Skarp dropptaggsvamp</t>
        </is>
      </c>
      <c r="S1266">
        <f>HYPERLINK("https://klasma.github.io/Logging_2481/artfynd/A 43418-2022 artfynd.xlsx", "A 43418-2022")</f>
        <v/>
      </c>
      <c r="T1266">
        <f>HYPERLINK("https://klasma.github.io/Logging_2481/kartor/A 43418-2022 karta.png", "A 43418-2022")</f>
        <v/>
      </c>
      <c r="V1266">
        <f>HYPERLINK("https://klasma.github.io/Logging_2481/klagomål/A 43418-2022 FSC-klagomål.docx", "A 43418-2022")</f>
        <v/>
      </c>
      <c r="W1266">
        <f>HYPERLINK("https://klasma.github.io/Logging_2481/klagomålsmail/A 43418-2022 FSC-klagomål mail.docx", "A 43418-2022")</f>
        <v/>
      </c>
      <c r="X1266">
        <f>HYPERLINK("https://klasma.github.io/Logging_2481/tillsyn/A 43418-2022 tillsynsbegäran.docx", "A 43418-2022")</f>
        <v/>
      </c>
      <c r="Y1266">
        <f>HYPERLINK("https://klasma.github.io/Logging_2481/tillsynsmail/A 43418-2022 tillsynsbegäran mail.docx", "A 43418-2022")</f>
        <v/>
      </c>
    </row>
    <row r="1267" ht="15" customHeight="1">
      <c r="A1267" t="inlineStr">
        <is>
          <t>A 43519-2022</t>
        </is>
      </c>
      <c r="B1267" s="1" t="n">
        <v>44837</v>
      </c>
      <c r="C1267" s="1" t="n">
        <v>45788</v>
      </c>
      <c r="D1267" t="inlineStr">
        <is>
          <t>VÄSTERBOTTENS LÄN</t>
        </is>
      </c>
      <c r="E1267" t="inlineStr">
        <is>
          <t>UMEÅ</t>
        </is>
      </c>
      <c r="G1267" t="n">
        <v>4.2</v>
      </c>
      <c r="H1267" t="n">
        <v>0</v>
      </c>
      <c r="I1267" t="n">
        <v>0</v>
      </c>
      <c r="J1267" t="n">
        <v>1</v>
      </c>
      <c r="K1267" t="n">
        <v>0</v>
      </c>
      <c r="L1267" t="n">
        <v>0</v>
      </c>
      <c r="M1267" t="n">
        <v>0</v>
      </c>
      <c r="N1267" t="n">
        <v>0</v>
      </c>
      <c r="O1267" t="n">
        <v>1</v>
      </c>
      <c r="P1267" t="n">
        <v>0</v>
      </c>
      <c r="Q1267" t="n">
        <v>1</v>
      </c>
      <c r="R1267" s="2" t="inlineStr">
        <is>
          <t>Skogshare</t>
        </is>
      </c>
      <c r="S1267">
        <f>HYPERLINK("https://klasma.github.io/Logging_2480/artfynd/A 43519-2022 artfynd.xlsx", "A 43519-2022")</f>
        <v/>
      </c>
      <c r="T1267">
        <f>HYPERLINK("https://klasma.github.io/Logging_2480/kartor/A 43519-2022 karta.png", "A 43519-2022")</f>
        <v/>
      </c>
      <c r="V1267">
        <f>HYPERLINK("https://klasma.github.io/Logging_2480/klagomål/A 43519-2022 FSC-klagomål.docx", "A 43519-2022")</f>
        <v/>
      </c>
      <c r="W1267">
        <f>HYPERLINK("https://klasma.github.io/Logging_2480/klagomålsmail/A 43519-2022 FSC-klagomål mail.docx", "A 43519-2022")</f>
        <v/>
      </c>
      <c r="X1267">
        <f>HYPERLINK("https://klasma.github.io/Logging_2480/tillsyn/A 43519-2022 tillsynsbegäran.docx", "A 43519-2022")</f>
        <v/>
      </c>
      <c r="Y1267">
        <f>HYPERLINK("https://klasma.github.io/Logging_2480/tillsynsmail/A 43519-2022 tillsynsbegäran mail.docx", "A 43519-2022")</f>
        <v/>
      </c>
    </row>
    <row r="1268" ht="15" customHeight="1">
      <c r="A1268" t="inlineStr">
        <is>
          <t>A 43969-2022</t>
        </is>
      </c>
      <c r="B1268" s="1" t="n">
        <v>44837</v>
      </c>
      <c r="C1268" s="1" t="n">
        <v>45788</v>
      </c>
      <c r="D1268" t="inlineStr">
        <is>
          <t>VÄSTERBOTTENS LÄN</t>
        </is>
      </c>
      <c r="E1268" t="inlineStr">
        <is>
          <t>BJURHOLM</t>
        </is>
      </c>
      <c r="G1268" t="n">
        <v>2.3</v>
      </c>
      <c r="H1268" t="n">
        <v>1</v>
      </c>
      <c r="I1268" t="n">
        <v>1</v>
      </c>
      <c r="J1268" t="n">
        <v>0</v>
      </c>
      <c r="K1268" t="n">
        <v>0</v>
      </c>
      <c r="L1268" t="n">
        <v>0</v>
      </c>
      <c r="M1268" t="n">
        <v>0</v>
      </c>
      <c r="N1268" t="n">
        <v>0</v>
      </c>
      <c r="O1268" t="n">
        <v>0</v>
      </c>
      <c r="P1268" t="n">
        <v>0</v>
      </c>
      <c r="Q1268" t="n">
        <v>1</v>
      </c>
      <c r="R1268" s="2" t="inlineStr">
        <is>
          <t>Lappranunkel</t>
        </is>
      </c>
      <c r="S1268">
        <f>HYPERLINK("https://klasma.github.io/Logging_2403/artfynd/A 43969-2022 artfynd.xlsx", "A 43969-2022")</f>
        <v/>
      </c>
      <c r="T1268">
        <f>HYPERLINK("https://klasma.github.io/Logging_2403/kartor/A 43969-2022 karta.png", "A 43969-2022")</f>
        <v/>
      </c>
      <c r="V1268">
        <f>HYPERLINK("https://klasma.github.io/Logging_2403/klagomål/A 43969-2022 FSC-klagomål.docx", "A 43969-2022")</f>
        <v/>
      </c>
      <c r="W1268">
        <f>HYPERLINK("https://klasma.github.io/Logging_2403/klagomålsmail/A 43969-2022 FSC-klagomål mail.docx", "A 43969-2022")</f>
        <v/>
      </c>
      <c r="X1268">
        <f>HYPERLINK("https://klasma.github.io/Logging_2403/tillsyn/A 43969-2022 tillsynsbegäran.docx", "A 43969-2022")</f>
        <v/>
      </c>
      <c r="Y1268">
        <f>HYPERLINK("https://klasma.github.io/Logging_2403/tillsynsmail/A 43969-2022 tillsynsbegäran mail.docx", "A 43969-2022")</f>
        <v/>
      </c>
    </row>
    <row r="1269" ht="15" customHeight="1">
      <c r="A1269" t="inlineStr">
        <is>
          <t>A 44036-2022</t>
        </is>
      </c>
      <c r="B1269" s="1" t="n">
        <v>44838</v>
      </c>
      <c r="C1269" s="1" t="n">
        <v>45788</v>
      </c>
      <c r="D1269" t="inlineStr">
        <is>
          <t>VÄSTERBOTTENS LÄN</t>
        </is>
      </c>
      <c r="E1269" t="inlineStr">
        <is>
          <t>DOROTEA</t>
        </is>
      </c>
      <c r="F1269" t="inlineStr">
        <is>
          <t>SCA</t>
        </is>
      </c>
      <c r="G1269" t="n">
        <v>6.3</v>
      </c>
      <c r="H1269" t="n">
        <v>0</v>
      </c>
      <c r="I1269" t="n">
        <v>0</v>
      </c>
      <c r="J1269" t="n">
        <v>1</v>
      </c>
      <c r="K1269" t="n">
        <v>0</v>
      </c>
      <c r="L1269" t="n">
        <v>0</v>
      </c>
      <c r="M1269" t="n">
        <v>0</v>
      </c>
      <c r="N1269" t="n">
        <v>0</v>
      </c>
      <c r="O1269" t="n">
        <v>1</v>
      </c>
      <c r="P1269" t="n">
        <v>0</v>
      </c>
      <c r="Q1269" t="n">
        <v>1</v>
      </c>
      <c r="R1269" s="2" t="inlineStr">
        <is>
          <t>Ullticka</t>
        </is>
      </c>
      <c r="S1269">
        <f>HYPERLINK("https://klasma.github.io/Logging_2425/artfynd/A 44036-2022 artfynd.xlsx", "A 44036-2022")</f>
        <v/>
      </c>
      <c r="T1269">
        <f>HYPERLINK("https://klasma.github.io/Logging_2425/kartor/A 44036-2022 karta.png", "A 44036-2022")</f>
        <v/>
      </c>
      <c r="V1269">
        <f>HYPERLINK("https://klasma.github.io/Logging_2425/klagomål/A 44036-2022 FSC-klagomål.docx", "A 44036-2022")</f>
        <v/>
      </c>
      <c r="W1269">
        <f>HYPERLINK("https://klasma.github.io/Logging_2425/klagomålsmail/A 44036-2022 FSC-klagomål mail.docx", "A 44036-2022")</f>
        <v/>
      </c>
      <c r="X1269">
        <f>HYPERLINK("https://klasma.github.io/Logging_2425/tillsyn/A 44036-2022 tillsynsbegäran.docx", "A 44036-2022")</f>
        <v/>
      </c>
      <c r="Y1269">
        <f>HYPERLINK("https://klasma.github.io/Logging_2425/tillsynsmail/A 44036-2022 tillsynsbegäran mail.docx", "A 44036-2022")</f>
        <v/>
      </c>
    </row>
    <row r="1270" ht="15" customHeight="1">
      <c r="A1270" t="inlineStr">
        <is>
          <t>A 44389-2022</t>
        </is>
      </c>
      <c r="B1270" s="1" t="n">
        <v>44838</v>
      </c>
      <c r="C1270" s="1" t="n">
        <v>45788</v>
      </c>
      <c r="D1270" t="inlineStr">
        <is>
          <t>VÄSTERBOTTENS LÄN</t>
        </is>
      </c>
      <c r="E1270" t="inlineStr">
        <is>
          <t>DOROTEA</t>
        </is>
      </c>
      <c r="G1270" t="n">
        <v>1.8</v>
      </c>
      <c r="H1270" t="n">
        <v>0</v>
      </c>
      <c r="I1270" t="n">
        <v>0</v>
      </c>
      <c r="J1270" t="n">
        <v>1</v>
      </c>
      <c r="K1270" t="n">
        <v>0</v>
      </c>
      <c r="L1270" t="n">
        <v>0</v>
      </c>
      <c r="M1270" t="n">
        <v>0</v>
      </c>
      <c r="N1270" t="n">
        <v>0</v>
      </c>
      <c r="O1270" t="n">
        <v>1</v>
      </c>
      <c r="P1270" t="n">
        <v>0</v>
      </c>
      <c r="Q1270" t="n">
        <v>1</v>
      </c>
      <c r="R1270" s="2" t="inlineStr">
        <is>
          <t>Granticka</t>
        </is>
      </c>
      <c r="S1270">
        <f>HYPERLINK("https://klasma.github.io/Logging_2425/artfynd/A 44389-2022 artfynd.xlsx", "A 44389-2022")</f>
        <v/>
      </c>
      <c r="T1270">
        <f>HYPERLINK("https://klasma.github.io/Logging_2425/kartor/A 44389-2022 karta.png", "A 44389-2022")</f>
        <v/>
      </c>
      <c r="V1270">
        <f>HYPERLINK("https://klasma.github.io/Logging_2425/klagomål/A 44389-2022 FSC-klagomål.docx", "A 44389-2022")</f>
        <v/>
      </c>
      <c r="W1270">
        <f>HYPERLINK("https://klasma.github.io/Logging_2425/klagomålsmail/A 44389-2022 FSC-klagomål mail.docx", "A 44389-2022")</f>
        <v/>
      </c>
      <c r="X1270">
        <f>HYPERLINK("https://klasma.github.io/Logging_2425/tillsyn/A 44389-2022 tillsynsbegäran.docx", "A 44389-2022")</f>
        <v/>
      </c>
      <c r="Y1270">
        <f>HYPERLINK("https://klasma.github.io/Logging_2425/tillsynsmail/A 44389-2022 tillsynsbegäran mail.docx", "A 44389-2022")</f>
        <v/>
      </c>
    </row>
    <row r="1271" ht="15" customHeight="1">
      <c r="A1271" t="inlineStr">
        <is>
          <t>A 44990-2022</t>
        </is>
      </c>
      <c r="B1271" s="1" t="n">
        <v>44840</v>
      </c>
      <c r="C1271" s="1" t="n">
        <v>45788</v>
      </c>
      <c r="D1271" t="inlineStr">
        <is>
          <t>VÄSTERBOTTENS LÄN</t>
        </is>
      </c>
      <c r="E1271" t="inlineStr">
        <is>
          <t>ROBERTSFORS</t>
        </is>
      </c>
      <c r="G1271" t="n">
        <v>2.4</v>
      </c>
      <c r="H1271" t="n">
        <v>0</v>
      </c>
      <c r="I1271" t="n">
        <v>0</v>
      </c>
      <c r="J1271" t="n">
        <v>1</v>
      </c>
      <c r="K1271" t="n">
        <v>0</v>
      </c>
      <c r="L1271" t="n">
        <v>0</v>
      </c>
      <c r="M1271" t="n">
        <v>0</v>
      </c>
      <c r="N1271" t="n">
        <v>0</v>
      </c>
      <c r="O1271" t="n">
        <v>1</v>
      </c>
      <c r="P1271" t="n">
        <v>0</v>
      </c>
      <c r="Q1271" t="n">
        <v>1</v>
      </c>
      <c r="R1271" s="2" t="inlineStr">
        <is>
          <t>Ullticka</t>
        </is>
      </c>
      <c r="S1271">
        <f>HYPERLINK("https://klasma.github.io/Logging_2409/artfynd/A 44990-2022 artfynd.xlsx", "A 44990-2022")</f>
        <v/>
      </c>
      <c r="T1271">
        <f>HYPERLINK("https://klasma.github.io/Logging_2409/kartor/A 44990-2022 karta.png", "A 44990-2022")</f>
        <v/>
      </c>
      <c r="V1271">
        <f>HYPERLINK("https://klasma.github.io/Logging_2409/klagomål/A 44990-2022 FSC-klagomål.docx", "A 44990-2022")</f>
        <v/>
      </c>
      <c r="W1271">
        <f>HYPERLINK("https://klasma.github.io/Logging_2409/klagomålsmail/A 44990-2022 FSC-klagomål mail.docx", "A 44990-2022")</f>
        <v/>
      </c>
      <c r="X1271">
        <f>HYPERLINK("https://klasma.github.io/Logging_2409/tillsyn/A 44990-2022 tillsynsbegäran.docx", "A 44990-2022")</f>
        <v/>
      </c>
      <c r="Y1271">
        <f>HYPERLINK("https://klasma.github.io/Logging_2409/tillsynsmail/A 44990-2022 tillsynsbegäran mail.docx", "A 44990-2022")</f>
        <v/>
      </c>
    </row>
    <row r="1272" ht="15" customHeight="1">
      <c r="A1272" t="inlineStr">
        <is>
          <t>A 46317-2022</t>
        </is>
      </c>
      <c r="B1272" s="1" t="n">
        <v>44847</v>
      </c>
      <c r="C1272" s="1" t="n">
        <v>45788</v>
      </c>
      <c r="D1272" t="inlineStr">
        <is>
          <t>VÄSTERBOTTENS LÄN</t>
        </is>
      </c>
      <c r="E1272" t="inlineStr">
        <is>
          <t>MALÅ</t>
        </is>
      </c>
      <c r="G1272" t="n">
        <v>76.40000000000001</v>
      </c>
      <c r="H1272" t="n">
        <v>0</v>
      </c>
      <c r="I1272" t="n">
        <v>0</v>
      </c>
      <c r="J1272" t="n">
        <v>1</v>
      </c>
      <c r="K1272" t="n">
        <v>0</v>
      </c>
      <c r="L1272" t="n">
        <v>0</v>
      </c>
      <c r="M1272" t="n">
        <v>0</v>
      </c>
      <c r="N1272" t="n">
        <v>0</v>
      </c>
      <c r="O1272" t="n">
        <v>1</v>
      </c>
      <c r="P1272" t="n">
        <v>0</v>
      </c>
      <c r="Q1272" t="n">
        <v>1</v>
      </c>
      <c r="R1272" s="2" t="inlineStr">
        <is>
          <t>Rosenticka</t>
        </is>
      </c>
      <c r="S1272">
        <f>HYPERLINK("https://klasma.github.io/Logging_2418/artfynd/A 46317-2022 artfynd.xlsx", "A 46317-2022")</f>
        <v/>
      </c>
      <c r="T1272">
        <f>HYPERLINK("https://klasma.github.io/Logging_2418/kartor/A 46317-2022 karta.png", "A 46317-2022")</f>
        <v/>
      </c>
      <c r="V1272">
        <f>HYPERLINK("https://klasma.github.io/Logging_2418/klagomål/A 46317-2022 FSC-klagomål.docx", "A 46317-2022")</f>
        <v/>
      </c>
      <c r="W1272">
        <f>HYPERLINK("https://klasma.github.io/Logging_2418/klagomålsmail/A 46317-2022 FSC-klagomål mail.docx", "A 46317-2022")</f>
        <v/>
      </c>
      <c r="X1272">
        <f>HYPERLINK("https://klasma.github.io/Logging_2418/tillsyn/A 46317-2022 tillsynsbegäran.docx", "A 46317-2022")</f>
        <v/>
      </c>
      <c r="Y1272">
        <f>HYPERLINK("https://klasma.github.io/Logging_2418/tillsynsmail/A 46317-2022 tillsynsbegäran mail.docx", "A 46317-2022")</f>
        <v/>
      </c>
    </row>
    <row r="1273" ht="15" customHeight="1">
      <c r="A1273" t="inlineStr">
        <is>
          <t>A 46990-2022</t>
        </is>
      </c>
      <c r="B1273" s="1" t="n">
        <v>44851</v>
      </c>
      <c r="C1273" s="1" t="n">
        <v>45788</v>
      </c>
      <c r="D1273" t="inlineStr">
        <is>
          <t>VÄSTERBOTTENS LÄN</t>
        </is>
      </c>
      <c r="E1273" t="inlineStr">
        <is>
          <t>NORDMALING</t>
        </is>
      </c>
      <c r="F1273" t="inlineStr">
        <is>
          <t>SCA</t>
        </is>
      </c>
      <c r="G1273" t="n">
        <v>7.7</v>
      </c>
      <c r="H1273" t="n">
        <v>0</v>
      </c>
      <c r="I1273" t="n">
        <v>0</v>
      </c>
      <c r="J1273" t="n">
        <v>1</v>
      </c>
      <c r="K1273" t="n">
        <v>0</v>
      </c>
      <c r="L1273" t="n">
        <v>0</v>
      </c>
      <c r="M1273" t="n">
        <v>0</v>
      </c>
      <c r="N1273" t="n">
        <v>0</v>
      </c>
      <c r="O1273" t="n">
        <v>1</v>
      </c>
      <c r="P1273" t="n">
        <v>0</v>
      </c>
      <c r="Q1273" t="n">
        <v>1</v>
      </c>
      <c r="R1273" s="2" t="inlineStr">
        <is>
          <t>Lunglav</t>
        </is>
      </c>
      <c r="S1273">
        <f>HYPERLINK("https://klasma.github.io/Logging_2401/artfynd/A 46990-2022 artfynd.xlsx", "A 46990-2022")</f>
        <v/>
      </c>
      <c r="T1273">
        <f>HYPERLINK("https://klasma.github.io/Logging_2401/kartor/A 46990-2022 karta.png", "A 46990-2022")</f>
        <v/>
      </c>
      <c r="V1273">
        <f>HYPERLINK("https://klasma.github.io/Logging_2401/klagomål/A 46990-2022 FSC-klagomål.docx", "A 46990-2022")</f>
        <v/>
      </c>
      <c r="W1273">
        <f>HYPERLINK("https://klasma.github.io/Logging_2401/klagomålsmail/A 46990-2022 FSC-klagomål mail.docx", "A 46990-2022")</f>
        <v/>
      </c>
      <c r="X1273">
        <f>HYPERLINK("https://klasma.github.io/Logging_2401/tillsyn/A 46990-2022 tillsynsbegäran.docx", "A 46990-2022")</f>
        <v/>
      </c>
      <c r="Y1273">
        <f>HYPERLINK("https://klasma.github.io/Logging_2401/tillsynsmail/A 46990-2022 tillsynsbegäran mail.docx", "A 46990-2022")</f>
        <v/>
      </c>
    </row>
    <row r="1274" ht="15" customHeight="1">
      <c r="A1274" t="inlineStr">
        <is>
          <t>A 47251-2022</t>
        </is>
      </c>
      <c r="B1274" s="1" t="n">
        <v>44852</v>
      </c>
      <c r="C1274" s="1" t="n">
        <v>45788</v>
      </c>
      <c r="D1274" t="inlineStr">
        <is>
          <t>VÄSTERBOTTENS LÄN</t>
        </is>
      </c>
      <c r="E1274" t="inlineStr">
        <is>
          <t>VILHELMINA</t>
        </is>
      </c>
      <c r="F1274" t="inlineStr">
        <is>
          <t>SCA</t>
        </is>
      </c>
      <c r="G1274" t="n">
        <v>16.4</v>
      </c>
      <c r="H1274" t="n">
        <v>0</v>
      </c>
      <c r="I1274" t="n">
        <v>0</v>
      </c>
      <c r="J1274" t="n">
        <v>1</v>
      </c>
      <c r="K1274" t="n">
        <v>0</v>
      </c>
      <c r="L1274" t="n">
        <v>0</v>
      </c>
      <c r="M1274" t="n">
        <v>0</v>
      </c>
      <c r="N1274" t="n">
        <v>0</v>
      </c>
      <c r="O1274" t="n">
        <v>1</v>
      </c>
      <c r="P1274" t="n">
        <v>0</v>
      </c>
      <c r="Q1274" t="n">
        <v>1</v>
      </c>
      <c r="R1274" s="2" t="inlineStr">
        <is>
          <t>Rosenticka</t>
        </is>
      </c>
      <c r="S1274">
        <f>HYPERLINK("https://klasma.github.io/Logging_2462/artfynd/A 47251-2022 artfynd.xlsx", "A 47251-2022")</f>
        <v/>
      </c>
      <c r="T1274">
        <f>HYPERLINK("https://klasma.github.io/Logging_2462/kartor/A 47251-2022 karta.png", "A 47251-2022")</f>
        <v/>
      </c>
      <c r="V1274">
        <f>HYPERLINK("https://klasma.github.io/Logging_2462/klagomål/A 47251-2022 FSC-klagomål.docx", "A 47251-2022")</f>
        <v/>
      </c>
      <c r="W1274">
        <f>HYPERLINK("https://klasma.github.io/Logging_2462/klagomålsmail/A 47251-2022 FSC-klagomål mail.docx", "A 47251-2022")</f>
        <v/>
      </c>
      <c r="X1274">
        <f>HYPERLINK("https://klasma.github.io/Logging_2462/tillsyn/A 47251-2022 tillsynsbegäran.docx", "A 47251-2022")</f>
        <v/>
      </c>
      <c r="Y1274">
        <f>HYPERLINK("https://klasma.github.io/Logging_2462/tillsynsmail/A 47251-2022 tillsynsbegäran mail.docx", "A 47251-2022")</f>
        <v/>
      </c>
    </row>
    <row r="1275" ht="15" customHeight="1">
      <c r="A1275" t="inlineStr">
        <is>
          <t>A 47963-2022</t>
        </is>
      </c>
      <c r="B1275" s="1" t="n">
        <v>44855</v>
      </c>
      <c r="C1275" s="1" t="n">
        <v>45788</v>
      </c>
      <c r="D1275" t="inlineStr">
        <is>
          <t>VÄSTERBOTTENS LÄN</t>
        </is>
      </c>
      <c r="E1275" t="inlineStr">
        <is>
          <t>SKELLEFTEÅ</t>
        </is>
      </c>
      <c r="F1275" t="inlineStr">
        <is>
          <t>Holmen skog AB</t>
        </is>
      </c>
      <c r="G1275" t="n">
        <v>18.7</v>
      </c>
      <c r="H1275" t="n">
        <v>0</v>
      </c>
      <c r="I1275" t="n">
        <v>1</v>
      </c>
      <c r="J1275" t="n">
        <v>0</v>
      </c>
      <c r="K1275" t="n">
        <v>0</v>
      </c>
      <c r="L1275" t="n">
        <v>0</v>
      </c>
      <c r="M1275" t="n">
        <v>0</v>
      </c>
      <c r="N1275" t="n">
        <v>0</v>
      </c>
      <c r="O1275" t="n">
        <v>0</v>
      </c>
      <c r="P1275" t="n">
        <v>0</v>
      </c>
      <c r="Q1275" t="n">
        <v>1</v>
      </c>
      <c r="R1275" s="2" t="inlineStr">
        <is>
          <t>Skinnlav</t>
        </is>
      </c>
      <c r="S1275">
        <f>HYPERLINK("https://klasma.github.io/Logging_2482/artfynd/A 47963-2022 artfynd.xlsx", "A 47963-2022")</f>
        <v/>
      </c>
      <c r="T1275">
        <f>HYPERLINK("https://klasma.github.io/Logging_2482/kartor/A 47963-2022 karta.png", "A 47963-2022")</f>
        <v/>
      </c>
      <c r="V1275">
        <f>HYPERLINK("https://klasma.github.io/Logging_2482/klagomål/A 47963-2022 FSC-klagomål.docx", "A 47963-2022")</f>
        <v/>
      </c>
      <c r="W1275">
        <f>HYPERLINK("https://klasma.github.io/Logging_2482/klagomålsmail/A 47963-2022 FSC-klagomål mail.docx", "A 47963-2022")</f>
        <v/>
      </c>
      <c r="X1275">
        <f>HYPERLINK("https://klasma.github.io/Logging_2482/tillsyn/A 47963-2022 tillsynsbegäran.docx", "A 47963-2022")</f>
        <v/>
      </c>
      <c r="Y1275">
        <f>HYPERLINK("https://klasma.github.io/Logging_2482/tillsynsmail/A 47963-2022 tillsynsbegäran mail.docx", "A 47963-2022")</f>
        <v/>
      </c>
    </row>
    <row r="1276" ht="15" customHeight="1">
      <c r="A1276" t="inlineStr">
        <is>
          <t>A 48089-2022</t>
        </is>
      </c>
      <c r="B1276" s="1" t="n">
        <v>44855</v>
      </c>
      <c r="C1276" s="1" t="n">
        <v>45788</v>
      </c>
      <c r="D1276" t="inlineStr">
        <is>
          <t>VÄSTERBOTTENS LÄN</t>
        </is>
      </c>
      <c r="E1276" t="inlineStr">
        <is>
          <t>DOROTEA</t>
        </is>
      </c>
      <c r="F1276" t="inlineStr">
        <is>
          <t>SCA</t>
        </is>
      </c>
      <c r="G1276" t="n">
        <v>9.199999999999999</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HYPERLINK("https://klasma.github.io/Logging_2425/artfynd/A 48089-2022 artfynd.xlsx", "A 48089-2022")</f>
        <v/>
      </c>
      <c r="T1276">
        <f>HYPERLINK("https://klasma.github.io/Logging_2425/kartor/A 48089-2022 karta.png", "A 48089-2022")</f>
        <v/>
      </c>
      <c r="V1276">
        <f>HYPERLINK("https://klasma.github.io/Logging_2425/klagomål/A 48089-2022 FSC-klagomål.docx", "A 48089-2022")</f>
        <v/>
      </c>
      <c r="W1276">
        <f>HYPERLINK("https://klasma.github.io/Logging_2425/klagomålsmail/A 48089-2022 FSC-klagomål mail.docx", "A 48089-2022")</f>
        <v/>
      </c>
      <c r="X1276">
        <f>HYPERLINK("https://klasma.github.io/Logging_2425/tillsyn/A 48089-2022 tillsynsbegäran.docx", "A 48089-2022")</f>
        <v/>
      </c>
      <c r="Y1276">
        <f>HYPERLINK("https://klasma.github.io/Logging_2425/tillsynsmail/A 48089-2022 tillsynsbegäran mail.docx", "A 48089-2022")</f>
        <v/>
      </c>
    </row>
    <row r="1277" ht="15" customHeight="1">
      <c r="A1277" t="inlineStr">
        <is>
          <t>A 48771-2022</t>
        </is>
      </c>
      <c r="B1277" s="1" t="n">
        <v>44859</v>
      </c>
      <c r="C1277" s="1" t="n">
        <v>45788</v>
      </c>
      <c r="D1277" t="inlineStr">
        <is>
          <t>VÄSTERBOTTENS LÄN</t>
        </is>
      </c>
      <c r="E1277" t="inlineStr">
        <is>
          <t>UMEÅ</t>
        </is>
      </c>
      <c r="F1277" t="inlineStr">
        <is>
          <t>Holmen skog AB</t>
        </is>
      </c>
      <c r="G1277" t="n">
        <v>4.6</v>
      </c>
      <c r="H1277" t="n">
        <v>0</v>
      </c>
      <c r="I1277" t="n">
        <v>1</v>
      </c>
      <c r="J1277" t="n">
        <v>0</v>
      </c>
      <c r="K1277" t="n">
        <v>0</v>
      </c>
      <c r="L1277" t="n">
        <v>0</v>
      </c>
      <c r="M1277" t="n">
        <v>0</v>
      </c>
      <c r="N1277" t="n">
        <v>0</v>
      </c>
      <c r="O1277" t="n">
        <v>0</v>
      </c>
      <c r="P1277" t="n">
        <v>0</v>
      </c>
      <c r="Q1277" t="n">
        <v>1</v>
      </c>
      <c r="R1277" s="2" t="inlineStr">
        <is>
          <t>Vedticka</t>
        </is>
      </c>
      <c r="S1277">
        <f>HYPERLINK("https://klasma.github.io/Logging_2480/artfynd/A 48771-2022 artfynd.xlsx", "A 48771-2022")</f>
        <v/>
      </c>
      <c r="T1277">
        <f>HYPERLINK("https://klasma.github.io/Logging_2480/kartor/A 48771-2022 karta.png", "A 48771-2022")</f>
        <v/>
      </c>
      <c r="V1277">
        <f>HYPERLINK("https://klasma.github.io/Logging_2480/klagomål/A 48771-2022 FSC-klagomål.docx", "A 48771-2022")</f>
        <v/>
      </c>
      <c r="W1277">
        <f>HYPERLINK("https://klasma.github.io/Logging_2480/klagomålsmail/A 48771-2022 FSC-klagomål mail.docx", "A 48771-2022")</f>
        <v/>
      </c>
      <c r="X1277">
        <f>HYPERLINK("https://klasma.github.io/Logging_2480/tillsyn/A 48771-2022 tillsynsbegäran.docx", "A 48771-2022")</f>
        <v/>
      </c>
      <c r="Y1277">
        <f>HYPERLINK("https://klasma.github.io/Logging_2480/tillsynsmail/A 48771-2022 tillsynsbegäran mail.docx", "A 48771-2022")</f>
        <v/>
      </c>
    </row>
    <row r="1278" ht="15" customHeight="1">
      <c r="A1278" t="inlineStr">
        <is>
          <t>A 48947-2022</t>
        </is>
      </c>
      <c r="B1278" s="1" t="n">
        <v>44859</v>
      </c>
      <c r="C1278" s="1" t="n">
        <v>45788</v>
      </c>
      <c r="D1278" t="inlineStr">
        <is>
          <t>VÄSTERBOTTENS LÄN</t>
        </is>
      </c>
      <c r="E1278" t="inlineStr">
        <is>
          <t>NORDMALING</t>
        </is>
      </c>
      <c r="F1278" t="inlineStr">
        <is>
          <t>SCA</t>
        </is>
      </c>
      <c r="G1278" t="n">
        <v>3.4</v>
      </c>
      <c r="H1278" t="n">
        <v>0</v>
      </c>
      <c r="I1278" t="n">
        <v>1</v>
      </c>
      <c r="J1278" t="n">
        <v>0</v>
      </c>
      <c r="K1278" t="n">
        <v>0</v>
      </c>
      <c r="L1278" t="n">
        <v>0</v>
      </c>
      <c r="M1278" t="n">
        <v>0</v>
      </c>
      <c r="N1278" t="n">
        <v>0</v>
      </c>
      <c r="O1278" t="n">
        <v>0</v>
      </c>
      <c r="P1278" t="n">
        <v>0</v>
      </c>
      <c r="Q1278" t="n">
        <v>1</v>
      </c>
      <c r="R1278" s="2" t="inlineStr">
        <is>
          <t>Trådticka</t>
        </is>
      </c>
      <c r="S1278">
        <f>HYPERLINK("https://klasma.github.io/Logging_2401/artfynd/A 48947-2022 artfynd.xlsx", "A 48947-2022")</f>
        <v/>
      </c>
      <c r="T1278">
        <f>HYPERLINK("https://klasma.github.io/Logging_2401/kartor/A 48947-2022 karta.png", "A 48947-2022")</f>
        <v/>
      </c>
      <c r="V1278">
        <f>HYPERLINK("https://klasma.github.io/Logging_2401/klagomål/A 48947-2022 FSC-klagomål.docx", "A 48947-2022")</f>
        <v/>
      </c>
      <c r="W1278">
        <f>HYPERLINK("https://klasma.github.io/Logging_2401/klagomålsmail/A 48947-2022 FSC-klagomål mail.docx", "A 48947-2022")</f>
        <v/>
      </c>
      <c r="X1278">
        <f>HYPERLINK("https://klasma.github.io/Logging_2401/tillsyn/A 48947-2022 tillsynsbegäran.docx", "A 48947-2022")</f>
        <v/>
      </c>
      <c r="Y1278">
        <f>HYPERLINK("https://klasma.github.io/Logging_2401/tillsynsmail/A 48947-2022 tillsynsbegäran mail.docx", "A 48947-2022")</f>
        <v/>
      </c>
    </row>
    <row r="1279" ht="15" customHeight="1">
      <c r="A1279" t="inlineStr">
        <is>
          <t>A 49658-2022</t>
        </is>
      </c>
      <c r="B1279" s="1" t="n">
        <v>44862</v>
      </c>
      <c r="C1279" s="1" t="n">
        <v>45788</v>
      </c>
      <c r="D1279" t="inlineStr">
        <is>
          <t>VÄSTERBOTTENS LÄN</t>
        </is>
      </c>
      <c r="E1279" t="inlineStr">
        <is>
          <t>UMEÅ</t>
        </is>
      </c>
      <c r="F1279" t="inlineStr">
        <is>
          <t>Holmen skog AB</t>
        </is>
      </c>
      <c r="G1279" t="n">
        <v>2.2</v>
      </c>
      <c r="H1279" t="n">
        <v>1</v>
      </c>
      <c r="I1279" t="n">
        <v>0</v>
      </c>
      <c r="J1279" t="n">
        <v>0</v>
      </c>
      <c r="K1279" t="n">
        <v>0</v>
      </c>
      <c r="L1279" t="n">
        <v>0</v>
      </c>
      <c r="M1279" t="n">
        <v>0</v>
      </c>
      <c r="N1279" t="n">
        <v>0</v>
      </c>
      <c r="O1279" t="n">
        <v>0</v>
      </c>
      <c r="P1279" t="n">
        <v>0</v>
      </c>
      <c r="Q1279" t="n">
        <v>1</v>
      </c>
      <c r="R1279" s="2" t="inlineStr">
        <is>
          <t>Vanlig groda</t>
        </is>
      </c>
      <c r="S1279">
        <f>HYPERLINK("https://klasma.github.io/Logging_2480/artfynd/A 49658-2022 artfynd.xlsx", "A 49658-2022")</f>
        <v/>
      </c>
      <c r="T1279">
        <f>HYPERLINK("https://klasma.github.io/Logging_2480/kartor/A 49658-2022 karta.png", "A 49658-2022")</f>
        <v/>
      </c>
      <c r="V1279">
        <f>HYPERLINK("https://klasma.github.io/Logging_2480/klagomål/A 49658-2022 FSC-klagomål.docx", "A 49658-2022")</f>
        <v/>
      </c>
      <c r="W1279">
        <f>HYPERLINK("https://klasma.github.io/Logging_2480/klagomålsmail/A 49658-2022 FSC-klagomål mail.docx", "A 49658-2022")</f>
        <v/>
      </c>
      <c r="X1279">
        <f>HYPERLINK("https://klasma.github.io/Logging_2480/tillsyn/A 49658-2022 tillsynsbegäran.docx", "A 49658-2022")</f>
        <v/>
      </c>
      <c r="Y1279">
        <f>HYPERLINK("https://klasma.github.io/Logging_2480/tillsynsmail/A 49658-2022 tillsynsbegäran mail.docx", "A 49658-2022")</f>
        <v/>
      </c>
    </row>
    <row r="1280" ht="15" customHeight="1">
      <c r="A1280" t="inlineStr">
        <is>
          <t>A 49588-2022</t>
        </is>
      </c>
      <c r="B1280" s="1" t="n">
        <v>44862</v>
      </c>
      <c r="C1280" s="1" t="n">
        <v>45788</v>
      </c>
      <c r="D1280" t="inlineStr">
        <is>
          <t>VÄSTERBOTTENS LÄN</t>
        </is>
      </c>
      <c r="E1280" t="inlineStr">
        <is>
          <t>SKELLEFTEÅ</t>
        </is>
      </c>
      <c r="F1280" t="inlineStr">
        <is>
          <t>Holmen skog AB</t>
        </is>
      </c>
      <c r="G1280" t="n">
        <v>6.1</v>
      </c>
      <c r="H1280" t="n">
        <v>0</v>
      </c>
      <c r="I1280" t="n">
        <v>0</v>
      </c>
      <c r="J1280" t="n">
        <v>1</v>
      </c>
      <c r="K1280" t="n">
        <v>0</v>
      </c>
      <c r="L1280" t="n">
        <v>0</v>
      </c>
      <c r="M1280" t="n">
        <v>0</v>
      </c>
      <c r="N1280" t="n">
        <v>0</v>
      </c>
      <c r="O1280" t="n">
        <v>1</v>
      </c>
      <c r="P1280" t="n">
        <v>0</v>
      </c>
      <c r="Q1280" t="n">
        <v>1</v>
      </c>
      <c r="R1280" s="2" t="inlineStr">
        <is>
          <t>Lunglav</t>
        </is>
      </c>
      <c r="S1280">
        <f>HYPERLINK("https://klasma.github.io/Logging_2482/artfynd/A 49588-2022 artfynd.xlsx", "A 49588-2022")</f>
        <v/>
      </c>
      <c r="T1280">
        <f>HYPERLINK("https://klasma.github.io/Logging_2482/kartor/A 49588-2022 karta.png", "A 49588-2022")</f>
        <v/>
      </c>
      <c r="V1280">
        <f>HYPERLINK("https://klasma.github.io/Logging_2482/klagomål/A 49588-2022 FSC-klagomål.docx", "A 49588-2022")</f>
        <v/>
      </c>
      <c r="W1280">
        <f>HYPERLINK("https://klasma.github.io/Logging_2482/klagomålsmail/A 49588-2022 FSC-klagomål mail.docx", "A 49588-2022")</f>
        <v/>
      </c>
      <c r="X1280">
        <f>HYPERLINK("https://klasma.github.io/Logging_2482/tillsyn/A 49588-2022 tillsynsbegäran.docx", "A 49588-2022")</f>
        <v/>
      </c>
      <c r="Y1280">
        <f>HYPERLINK("https://klasma.github.io/Logging_2482/tillsynsmail/A 49588-2022 tillsynsbegäran mail.docx", "A 49588-2022")</f>
        <v/>
      </c>
    </row>
    <row r="1281" ht="15" customHeight="1">
      <c r="A1281" t="inlineStr">
        <is>
          <t>A 49842-2022</t>
        </is>
      </c>
      <c r="B1281" s="1" t="n">
        <v>44862</v>
      </c>
      <c r="C1281" s="1" t="n">
        <v>45788</v>
      </c>
      <c r="D1281" t="inlineStr">
        <is>
          <t>VÄSTERBOTTENS LÄN</t>
        </is>
      </c>
      <c r="E1281" t="inlineStr">
        <is>
          <t>SKELLEFTEÅ</t>
        </is>
      </c>
      <c r="G1281" t="n">
        <v>7</v>
      </c>
      <c r="H1281" t="n">
        <v>0</v>
      </c>
      <c r="I1281" t="n">
        <v>0</v>
      </c>
      <c r="J1281" t="n">
        <v>1</v>
      </c>
      <c r="K1281" t="n">
        <v>0</v>
      </c>
      <c r="L1281" t="n">
        <v>0</v>
      </c>
      <c r="M1281" t="n">
        <v>0</v>
      </c>
      <c r="N1281" t="n">
        <v>0</v>
      </c>
      <c r="O1281" t="n">
        <v>1</v>
      </c>
      <c r="P1281" t="n">
        <v>0</v>
      </c>
      <c r="Q1281" t="n">
        <v>1</v>
      </c>
      <c r="R1281" s="2" t="inlineStr">
        <is>
          <t>Blå taggsvamp</t>
        </is>
      </c>
      <c r="S1281">
        <f>HYPERLINK("https://klasma.github.io/Logging_2482/artfynd/A 49842-2022 artfynd.xlsx", "A 49842-2022")</f>
        <v/>
      </c>
      <c r="T1281">
        <f>HYPERLINK("https://klasma.github.io/Logging_2482/kartor/A 49842-2022 karta.png", "A 49842-2022")</f>
        <v/>
      </c>
      <c r="V1281">
        <f>HYPERLINK("https://klasma.github.io/Logging_2482/klagomål/A 49842-2022 FSC-klagomål.docx", "A 49842-2022")</f>
        <v/>
      </c>
      <c r="W1281">
        <f>HYPERLINK("https://klasma.github.io/Logging_2482/klagomålsmail/A 49842-2022 FSC-klagomål mail.docx", "A 49842-2022")</f>
        <v/>
      </c>
      <c r="X1281">
        <f>HYPERLINK("https://klasma.github.io/Logging_2482/tillsyn/A 49842-2022 tillsynsbegäran.docx", "A 49842-2022")</f>
        <v/>
      </c>
      <c r="Y1281">
        <f>HYPERLINK("https://klasma.github.io/Logging_2482/tillsynsmail/A 49842-2022 tillsynsbegäran mail.docx", "A 49842-2022")</f>
        <v/>
      </c>
    </row>
    <row r="1282" ht="15" customHeight="1">
      <c r="A1282" t="inlineStr">
        <is>
          <t>A 50257-2022</t>
        </is>
      </c>
      <c r="B1282" s="1" t="n">
        <v>44865</v>
      </c>
      <c r="C1282" s="1" t="n">
        <v>45788</v>
      </c>
      <c r="D1282" t="inlineStr">
        <is>
          <t>VÄSTERBOTTENS LÄN</t>
        </is>
      </c>
      <c r="E1282" t="inlineStr">
        <is>
          <t>NORDMALING</t>
        </is>
      </c>
      <c r="F1282" t="inlineStr">
        <is>
          <t>Holmen skog AB</t>
        </is>
      </c>
      <c r="G1282" t="n">
        <v>9.6</v>
      </c>
      <c r="H1282" t="n">
        <v>0</v>
      </c>
      <c r="I1282" t="n">
        <v>0</v>
      </c>
      <c r="J1282" t="n">
        <v>1</v>
      </c>
      <c r="K1282" t="n">
        <v>0</v>
      </c>
      <c r="L1282" t="n">
        <v>0</v>
      </c>
      <c r="M1282" t="n">
        <v>0</v>
      </c>
      <c r="N1282" t="n">
        <v>0</v>
      </c>
      <c r="O1282" t="n">
        <v>1</v>
      </c>
      <c r="P1282" t="n">
        <v>0</v>
      </c>
      <c r="Q1282" t="n">
        <v>1</v>
      </c>
      <c r="R1282" s="2" t="inlineStr">
        <is>
          <t>Garnlav</t>
        </is>
      </c>
      <c r="S1282">
        <f>HYPERLINK("https://klasma.github.io/Logging_2401/artfynd/A 50257-2022 artfynd.xlsx", "A 50257-2022")</f>
        <v/>
      </c>
      <c r="T1282">
        <f>HYPERLINK("https://klasma.github.io/Logging_2401/kartor/A 50257-2022 karta.png", "A 50257-2022")</f>
        <v/>
      </c>
      <c r="V1282">
        <f>HYPERLINK("https://klasma.github.io/Logging_2401/klagomål/A 50257-2022 FSC-klagomål.docx", "A 50257-2022")</f>
        <v/>
      </c>
      <c r="W1282">
        <f>HYPERLINK("https://klasma.github.io/Logging_2401/klagomålsmail/A 50257-2022 FSC-klagomål mail.docx", "A 50257-2022")</f>
        <v/>
      </c>
      <c r="X1282">
        <f>HYPERLINK("https://klasma.github.io/Logging_2401/tillsyn/A 50257-2022 tillsynsbegäran.docx", "A 50257-2022")</f>
        <v/>
      </c>
      <c r="Y1282">
        <f>HYPERLINK("https://klasma.github.io/Logging_2401/tillsynsmail/A 50257-2022 tillsynsbegäran mail.docx", "A 50257-2022")</f>
        <v/>
      </c>
    </row>
    <row r="1283" ht="15" customHeight="1">
      <c r="A1283" t="inlineStr">
        <is>
          <t>A 51554-2022</t>
        </is>
      </c>
      <c r="B1283" s="1" t="n">
        <v>44869</v>
      </c>
      <c r="C1283" s="1" t="n">
        <v>45788</v>
      </c>
      <c r="D1283" t="inlineStr">
        <is>
          <t>VÄSTERBOTTENS LÄN</t>
        </is>
      </c>
      <c r="E1283" t="inlineStr">
        <is>
          <t>LYCKSELE</t>
        </is>
      </c>
      <c r="F1283" t="inlineStr">
        <is>
          <t>SCA</t>
        </is>
      </c>
      <c r="G1283" t="n">
        <v>4.2</v>
      </c>
      <c r="H1283" t="n">
        <v>1</v>
      </c>
      <c r="I1283" t="n">
        <v>0</v>
      </c>
      <c r="J1283" t="n">
        <v>1</v>
      </c>
      <c r="K1283" t="n">
        <v>0</v>
      </c>
      <c r="L1283" t="n">
        <v>0</v>
      </c>
      <c r="M1283" t="n">
        <v>0</v>
      </c>
      <c r="N1283" t="n">
        <v>0</v>
      </c>
      <c r="O1283" t="n">
        <v>1</v>
      </c>
      <c r="P1283" t="n">
        <v>0</v>
      </c>
      <c r="Q1283" t="n">
        <v>1</v>
      </c>
      <c r="R1283" s="2" t="inlineStr">
        <is>
          <t>Kungsörn</t>
        </is>
      </c>
      <c r="S1283">
        <f>HYPERLINK("https://klasma.github.io/Logging_2481/artfynd/A 51554-2022 artfynd.xlsx", "A 51554-2022")</f>
        <v/>
      </c>
      <c r="T1283">
        <f>HYPERLINK("https://klasma.github.io/Logging_2481/kartor/A 51554-2022 karta.png", "A 51554-2022")</f>
        <v/>
      </c>
      <c r="V1283">
        <f>HYPERLINK("https://klasma.github.io/Logging_2481/klagomål/A 51554-2022 FSC-klagomål.docx", "A 51554-2022")</f>
        <v/>
      </c>
      <c r="W1283">
        <f>HYPERLINK("https://klasma.github.io/Logging_2481/klagomålsmail/A 51554-2022 FSC-klagomål mail.docx", "A 51554-2022")</f>
        <v/>
      </c>
      <c r="X1283">
        <f>HYPERLINK("https://klasma.github.io/Logging_2481/tillsyn/A 51554-2022 tillsynsbegäran.docx", "A 51554-2022")</f>
        <v/>
      </c>
      <c r="Y1283">
        <f>HYPERLINK("https://klasma.github.io/Logging_2481/tillsynsmail/A 51554-2022 tillsynsbegäran mail.docx", "A 51554-2022")</f>
        <v/>
      </c>
      <c r="Z1283">
        <f>HYPERLINK("https://klasma.github.io/Logging_2481/fåglar/A 51554-2022 prioriterade fågelarter.docx", "A 51554-2022")</f>
        <v/>
      </c>
    </row>
    <row r="1284" ht="15" customHeight="1">
      <c r="A1284" t="inlineStr">
        <is>
          <t>A 53071-2022</t>
        </is>
      </c>
      <c r="B1284" s="1" t="n">
        <v>44873</v>
      </c>
      <c r="C1284" s="1" t="n">
        <v>45788</v>
      </c>
      <c r="D1284" t="inlineStr">
        <is>
          <t>VÄSTERBOTTENS LÄN</t>
        </is>
      </c>
      <c r="E1284" t="inlineStr">
        <is>
          <t>SKELLEFTEÅ</t>
        </is>
      </c>
      <c r="G1284" t="n">
        <v>10.6</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53071-2022 artfynd.xlsx", "A 53071-2022")</f>
        <v/>
      </c>
      <c r="T1284">
        <f>HYPERLINK("https://klasma.github.io/Logging_2482/kartor/A 53071-2022 karta.png", "A 53071-2022")</f>
        <v/>
      </c>
      <c r="V1284">
        <f>HYPERLINK("https://klasma.github.io/Logging_2482/klagomål/A 53071-2022 FSC-klagomål.docx", "A 53071-2022")</f>
        <v/>
      </c>
      <c r="W1284">
        <f>HYPERLINK("https://klasma.github.io/Logging_2482/klagomålsmail/A 53071-2022 FSC-klagomål mail.docx", "A 53071-2022")</f>
        <v/>
      </c>
      <c r="X1284">
        <f>HYPERLINK("https://klasma.github.io/Logging_2482/tillsyn/A 53071-2022 tillsynsbegäran.docx", "A 53071-2022")</f>
        <v/>
      </c>
      <c r="Y1284">
        <f>HYPERLINK("https://klasma.github.io/Logging_2482/tillsynsmail/A 53071-2022 tillsynsbegäran mail.docx", "A 53071-2022")</f>
        <v/>
      </c>
    </row>
    <row r="1285" ht="15" customHeight="1">
      <c r="A1285" t="inlineStr">
        <is>
          <t>A 52690-2022</t>
        </is>
      </c>
      <c r="B1285" s="1" t="n">
        <v>44874</v>
      </c>
      <c r="C1285" s="1" t="n">
        <v>45788</v>
      </c>
      <c r="D1285" t="inlineStr">
        <is>
          <t>VÄSTERBOTTENS LÄN</t>
        </is>
      </c>
      <c r="E1285" t="inlineStr">
        <is>
          <t>BJURHOLM</t>
        </is>
      </c>
      <c r="F1285" t="inlineStr">
        <is>
          <t>Sveaskog</t>
        </is>
      </c>
      <c r="G1285" t="n">
        <v>17.3</v>
      </c>
      <c r="H1285" t="n">
        <v>0</v>
      </c>
      <c r="I1285" t="n">
        <v>0</v>
      </c>
      <c r="J1285" t="n">
        <v>1</v>
      </c>
      <c r="K1285" t="n">
        <v>0</v>
      </c>
      <c r="L1285" t="n">
        <v>0</v>
      </c>
      <c r="M1285" t="n">
        <v>0</v>
      </c>
      <c r="N1285" t="n">
        <v>0</v>
      </c>
      <c r="O1285" t="n">
        <v>1</v>
      </c>
      <c r="P1285" t="n">
        <v>0</v>
      </c>
      <c r="Q1285" t="n">
        <v>1</v>
      </c>
      <c r="R1285" s="2" t="inlineStr">
        <is>
          <t>Motaggsvamp</t>
        </is>
      </c>
      <c r="S1285">
        <f>HYPERLINK("https://klasma.github.io/Logging_2403/artfynd/A 52690-2022 artfynd.xlsx", "A 52690-2022")</f>
        <v/>
      </c>
      <c r="T1285">
        <f>HYPERLINK("https://klasma.github.io/Logging_2403/kartor/A 52690-2022 karta.png", "A 52690-2022")</f>
        <v/>
      </c>
      <c r="V1285">
        <f>HYPERLINK("https://klasma.github.io/Logging_2403/klagomål/A 52690-2022 FSC-klagomål.docx", "A 52690-2022")</f>
        <v/>
      </c>
      <c r="W1285">
        <f>HYPERLINK("https://klasma.github.io/Logging_2403/klagomålsmail/A 52690-2022 FSC-klagomål mail.docx", "A 52690-2022")</f>
        <v/>
      </c>
      <c r="X1285">
        <f>HYPERLINK("https://klasma.github.io/Logging_2403/tillsyn/A 52690-2022 tillsynsbegäran.docx", "A 52690-2022")</f>
        <v/>
      </c>
      <c r="Y1285">
        <f>HYPERLINK("https://klasma.github.io/Logging_2403/tillsynsmail/A 52690-2022 tillsynsbegäran mail.docx", "A 52690-2022")</f>
        <v/>
      </c>
    </row>
    <row r="1286" ht="15" customHeight="1">
      <c r="A1286" t="inlineStr">
        <is>
          <t>A 53137-2022</t>
        </is>
      </c>
      <c r="B1286" s="1" t="n">
        <v>44876</v>
      </c>
      <c r="C1286" s="1" t="n">
        <v>45788</v>
      </c>
      <c r="D1286" t="inlineStr">
        <is>
          <t>VÄSTERBOTTENS LÄN</t>
        </is>
      </c>
      <c r="E1286" t="inlineStr">
        <is>
          <t>SKELLEFTEÅ</t>
        </is>
      </c>
      <c r="F1286" t="inlineStr">
        <is>
          <t>Holmen skog AB</t>
        </is>
      </c>
      <c r="G1286" t="n">
        <v>7.5</v>
      </c>
      <c r="H1286" t="n">
        <v>0</v>
      </c>
      <c r="I1286" t="n">
        <v>0</v>
      </c>
      <c r="J1286" t="n">
        <v>1</v>
      </c>
      <c r="K1286" t="n">
        <v>0</v>
      </c>
      <c r="L1286" t="n">
        <v>0</v>
      </c>
      <c r="M1286" t="n">
        <v>0</v>
      </c>
      <c r="N1286" t="n">
        <v>0</v>
      </c>
      <c r="O1286" t="n">
        <v>1</v>
      </c>
      <c r="P1286" t="n">
        <v>0</v>
      </c>
      <c r="Q1286" t="n">
        <v>1</v>
      </c>
      <c r="R1286" s="2" t="inlineStr">
        <is>
          <t>Garnlav</t>
        </is>
      </c>
      <c r="S1286">
        <f>HYPERLINK("https://klasma.github.io/Logging_2482/artfynd/A 53137-2022 artfynd.xlsx", "A 53137-2022")</f>
        <v/>
      </c>
      <c r="T1286">
        <f>HYPERLINK("https://klasma.github.io/Logging_2482/kartor/A 53137-2022 karta.png", "A 53137-2022")</f>
        <v/>
      </c>
      <c r="V1286">
        <f>HYPERLINK("https://klasma.github.io/Logging_2482/klagomål/A 53137-2022 FSC-klagomål.docx", "A 53137-2022")</f>
        <v/>
      </c>
      <c r="W1286">
        <f>HYPERLINK("https://klasma.github.io/Logging_2482/klagomålsmail/A 53137-2022 FSC-klagomål mail.docx", "A 53137-2022")</f>
        <v/>
      </c>
      <c r="X1286">
        <f>HYPERLINK("https://klasma.github.io/Logging_2482/tillsyn/A 53137-2022 tillsynsbegäran.docx", "A 53137-2022")</f>
        <v/>
      </c>
      <c r="Y1286">
        <f>HYPERLINK("https://klasma.github.io/Logging_2482/tillsynsmail/A 53137-2022 tillsynsbegäran mail.docx", "A 53137-2022")</f>
        <v/>
      </c>
    </row>
    <row r="1287" ht="15" customHeight="1">
      <c r="A1287" t="inlineStr">
        <is>
          <t>A 54058-2022</t>
        </is>
      </c>
      <c r="B1287" s="1" t="n">
        <v>44881</v>
      </c>
      <c r="C1287" s="1" t="n">
        <v>45788</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45788</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45788</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45788</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45788</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45788</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45788</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45788</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45788</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45788</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45788</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45788</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45788</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45788</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45788</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45788</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45788</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45788</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45788</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45788</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45788</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45788</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45788</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45788</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45788</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45788</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45788</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45788</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45788</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45788</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45788</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45788</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45788</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45788</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45788</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45788</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45788</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45788</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45788</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45788</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45788</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45788</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45788</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45788</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45788</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45788</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45788</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45788</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45788</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45788</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45788</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45788</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45788</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45788</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45788</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45788</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45788</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45788</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45788</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45788</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45788</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45788</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45788</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45788</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45788</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45788</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45788</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45788</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45788</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45788</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45788</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45788</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45788</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45788</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45788</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45788</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45788</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45788</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45788</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45788</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45788</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45788</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45788</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45788</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45788</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45788</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45788</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45788</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45788</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45788</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45788</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45788</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45788</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45788</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45788</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45788</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45788</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45788</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45788</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45788</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45788</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45788</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45788</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45788</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45788</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45788</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45788</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45788</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45788</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45788</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45788</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45788</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45788</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45788</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45788</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45788</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45788</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45788</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45788</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45788</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45788</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45788</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45788</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45788</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45788</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45788</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45788</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45788</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45788</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45788</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45788</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45788</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45788</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45788</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45788</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45788</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45788</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45788</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45788</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45788</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45788</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45788</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45788</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45788</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45788</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45788</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45788</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45788</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45788</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45788</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45788</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45788</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45788</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45788</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45788</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45788</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45788</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45788</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45788</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45788</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45788</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45788</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45788</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45788</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45788</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45788</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45788</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45788</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45788</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45788</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45788</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45788</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45788</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45788</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45788</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45788</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45788</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45788</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45788</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45788</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45788</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45788</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45788</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45788</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45788</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45788</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45788</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45788</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45788</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45788</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45788</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45788</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45788</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45788</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45788</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45788</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45788</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45788</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45788</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45788</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45788</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45788</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45788</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45788</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45788</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45788</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45788</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45788</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45788</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45788</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45788</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45788</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45788</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45788</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45788</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45788</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45788</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45788</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45788</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45788</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45788</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45788</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45788</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45788</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45788</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45788</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45788</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45788</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45788</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45788</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45788</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45788</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45788</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45788</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45788</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45788</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45788</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45788</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45788</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45788</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45788</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45788</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45788</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45788</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45788</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45788</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45788</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45788</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45788</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45788</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45788</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45788</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45788</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45788</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45788</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45788</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45788</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45788</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45788</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45788</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45788</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45788</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45788</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45788</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45788</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45788</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45788</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45788</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45788</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45788</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45788</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45788</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45788</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45788</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45788</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45788</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45788</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45788</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45788</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45788</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45788</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45788</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45788</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45788</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45788</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45788</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45788</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45788</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45788</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45788</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45788</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45788</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45788</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45788</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45788</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45788</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45788</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45788</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45788</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45788</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45788</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45788</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45788</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45788</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45788</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45788</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45788</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45788</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45788</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45788</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45788</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45788</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45788</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45788</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45788</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45788</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45788</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45788</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45788</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45788</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45788</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45788</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45788</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45788</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45788</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45788</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45788</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45788</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45788</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45788</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45788</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45788</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45788</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45788</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45788</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45788</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45788</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45788</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45788</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45788</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45788</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45788</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45788</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45788</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45788</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45788</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45788</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45788</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45788</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45788</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45788</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45788</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45788</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45788</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45788</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45788</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45788</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45788</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45788</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45788</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45788</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45788</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45788</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45788</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45788</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45788</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45788</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45788</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45788</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45788</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45788</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45788</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45788</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45788</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45788</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45788</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45788</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45788</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45788</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45788</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45788</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45788</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45788</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20929-2025</t>
        </is>
      </c>
      <c r="B1670" s="1" t="n">
        <v>45777</v>
      </c>
      <c r="C1670" s="1" t="n">
        <v>45788</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20929-2025 artfynd.xlsx", "A 20929-2025")</f>
        <v/>
      </c>
      <c r="T1670">
        <f>HYPERLINK("https://klasma.github.io/Logging_242481/kartor/A 20929-2025 karta.png", "A 20929-2025")</f>
        <v/>
      </c>
      <c r="V1670">
        <f>HYPERLINK("https://klasma.github.io/Logging_242481/klagomål/A 20929-2025 FSC-klagomål.docx", "A 20929-2025")</f>
        <v/>
      </c>
      <c r="W1670">
        <f>HYPERLINK("https://klasma.github.io/Logging_242481/klagomålsmail/A 20929-2025 FSC-klagomål mail.docx", "A 20929-2025")</f>
        <v/>
      </c>
      <c r="X1670">
        <f>HYPERLINK("https://klasma.github.io/Logging_242481/tillsyn/A 20929-2025 tillsynsbegäran.docx", "A 20929-2025")</f>
        <v/>
      </c>
      <c r="Y1670">
        <f>HYPERLINK("https://klasma.github.io/Logging_242481/tillsynsmail/A 20929-2025 tillsynsbegäran mail.docx", "A 20929-2025")</f>
        <v/>
      </c>
    </row>
    <row r="1671" ht="15" customHeight="1">
      <c r="A1671" t="inlineStr">
        <is>
          <t>A 20940-2025</t>
        </is>
      </c>
      <c r="B1671" s="1" t="n">
        <v>45777</v>
      </c>
      <c r="C1671" s="1" t="n">
        <v>45788</v>
      </c>
      <c r="D1671" t="inlineStr">
        <is>
          <t>VÄSTERBOTTENS LÄN</t>
        </is>
      </c>
      <c r="E1671" t="inlineStr">
        <is>
          <t>LYCKSELE</t>
        </is>
      </c>
      <c r="F1671" t="inlineStr">
        <is>
          <t>Sveaskog</t>
        </is>
      </c>
      <c r="G1671" t="n">
        <v>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HYPERLINK("https://klasma.github.io/Logging_242481/artfynd/A 20940-2025 artfynd.xlsx", "A 20940-2025")</f>
        <v/>
      </c>
      <c r="T1671">
        <f>HYPERLINK("https://klasma.github.io/Logging_242481/kartor/A 20940-2025 karta.png", "A 20940-2025")</f>
        <v/>
      </c>
      <c r="V1671">
        <f>HYPERLINK("https://klasma.github.io/Logging_242481/klagomål/A 20940-2025 FSC-klagomål.docx", "A 20940-2025")</f>
        <v/>
      </c>
      <c r="W1671">
        <f>HYPERLINK("https://klasma.github.io/Logging_242481/klagomålsmail/A 20940-2025 FSC-klagomål mail.docx", "A 20940-2025")</f>
        <v/>
      </c>
      <c r="X1671">
        <f>HYPERLINK("https://klasma.github.io/Logging_242481/tillsyn/A 20940-2025 tillsynsbegäran.docx", "A 20940-2025")</f>
        <v/>
      </c>
      <c r="Y1671">
        <f>HYPERLINK("https://klasma.github.io/Logging_242481/tillsynsmail/A 20940-2025 tillsynsbegäran mail.docx", "A 20940-2025")</f>
        <v/>
      </c>
    </row>
    <row r="1672" ht="15" customHeight="1">
      <c r="A1672" t="inlineStr">
        <is>
          <t>A 20971-2025</t>
        </is>
      </c>
      <c r="B1672" s="1" t="n">
        <v>45777</v>
      </c>
      <c r="C1672" s="1" t="n">
        <v>45788</v>
      </c>
      <c r="D1672" t="inlineStr">
        <is>
          <t>VÄSTERBOTTENS LÄN</t>
        </is>
      </c>
      <c r="E1672" t="inlineStr">
        <is>
          <t>BJURHOLM</t>
        </is>
      </c>
      <c r="F1672" t="inlineStr">
        <is>
          <t>Sveaskog</t>
        </is>
      </c>
      <c r="G1672" t="n">
        <v>17.3</v>
      </c>
      <c r="H1672" t="n">
        <v>0</v>
      </c>
      <c r="I1672" t="n">
        <v>0</v>
      </c>
      <c r="J1672" t="n">
        <v>0</v>
      </c>
      <c r="K1672" t="n">
        <v>1</v>
      </c>
      <c r="L1672" t="n">
        <v>0</v>
      </c>
      <c r="M1672" t="n">
        <v>0</v>
      </c>
      <c r="N1672" t="n">
        <v>0</v>
      </c>
      <c r="O1672" t="n">
        <v>1</v>
      </c>
      <c r="P1672" t="n">
        <v>1</v>
      </c>
      <c r="Q1672" t="n">
        <v>1</v>
      </c>
      <c r="R1672" s="2" t="inlineStr">
        <is>
          <t>Cyphea latiuscula</t>
        </is>
      </c>
      <c r="S1672">
        <f>HYPERLINK("https://klasma.github.io/Logging_242403/artfynd/A 20971-2025 artfynd.xlsx", "A 20971-2025")</f>
        <v/>
      </c>
      <c r="T1672">
        <f>HYPERLINK("https://klasma.github.io/Logging_242403/kartor/A 20971-2025 karta.png", "A 20971-2025")</f>
        <v/>
      </c>
      <c r="V1672">
        <f>HYPERLINK("https://klasma.github.io/Logging_242403/klagomål/A 20971-2025 FSC-klagomål.docx", "A 20971-2025")</f>
        <v/>
      </c>
      <c r="W1672">
        <f>HYPERLINK("https://klasma.github.io/Logging_242403/klagomålsmail/A 20971-2025 FSC-klagomål mail.docx", "A 20971-2025")</f>
        <v/>
      </c>
      <c r="X1672">
        <f>HYPERLINK("https://klasma.github.io/Logging_242403/tillsyn/A 20971-2025 tillsynsbegäran.docx", "A 20971-2025")</f>
        <v/>
      </c>
      <c r="Y1672">
        <f>HYPERLINK("https://klasma.github.io/Logging_242403/tillsynsmail/A 20971-2025 tillsynsbegäran mail.docx", "A 20971-2025")</f>
        <v/>
      </c>
    </row>
    <row r="1673" ht="15" customHeight="1">
      <c r="A1673" t="inlineStr">
        <is>
          <t>A 22373-2025</t>
        </is>
      </c>
      <c r="B1673" s="1" t="n">
        <v>45786</v>
      </c>
      <c r="C1673" s="1" t="n">
        <v>45788</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45788</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45788</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45788</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45788</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45788</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45788</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45788</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45788</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45788</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45788</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45788</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45788</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45788</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45788</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45788</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45788</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45788</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45788</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45788</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45788</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45788</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45788</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45788</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45788</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45788</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45788</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45788</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45788</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45788</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45788</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45788</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45788</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45788</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45788</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45788</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45788</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45788</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45788</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45788</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45788</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45788</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45788</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45788</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45788</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45788</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45788</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45788</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45788</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45788</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45788</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45788</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45788</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45788</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45788</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45788</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45788</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45788</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45788</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45788</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45788</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45788</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45788</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45788</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45788</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45788</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45788</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45788</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45788</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45788</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45788</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45788</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45788</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45788</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45788</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45788</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45788</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45788</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45788</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45788</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45788</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45788</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45788</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45788</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45788</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45788</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45788</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45788</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45788</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45788</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45788</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45788</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45788</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45788</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45788</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45788</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45788</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45788</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45788</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45788</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45788</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45788</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45788</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45788</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45788</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45788</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45788</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45788</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45788</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45788</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45788</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45788</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45788</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45788</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45788</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45788</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45788</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45788</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45788</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45788</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45788</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45788</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45788</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45788</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45788</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45788</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45788</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45788</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45788</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45788</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45788</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45788</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45788</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45788</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45788</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45788</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45788</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45788</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45788</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45788</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45788</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45788</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45788</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45788</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45788</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45788</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45788</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45788</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45788</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45788</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45788</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45788</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45788</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45788</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45788</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45788</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45788</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45788</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45788</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45788</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45788</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45788</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45788</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45788</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45788</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45788</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45788</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45788</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45788</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45788</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45788</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45788</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45788</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45788</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45788</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45788</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45788</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45788</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45788</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45788</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45788</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45788</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45788</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45788</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45788</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45788</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45788</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45788</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45788</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45788</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45788</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45788</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45788</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45788</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45788</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45788</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45788</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45788</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45788</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45788</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45788</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45788</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45788</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45788</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45788</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45788</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45788</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45788</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45788</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45788</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45788</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45788</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45788</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45788</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45788</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45788</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45788</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45788</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45788</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45788</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45788</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45788</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45788</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45788</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45788</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45788</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45788</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45788</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45788</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45788</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45788</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45788</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45788</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45788</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45788</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45788</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45788</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45788</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45788</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45788</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45788</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45788</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45788</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45788</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45788</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45788</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45788</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45788</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45788</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45788</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45788</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45788</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45788</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45788</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45788</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45788</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45788</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45788</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45788</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45788</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45788</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45788</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45788</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45788</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45788</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45788</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45788</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45788</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45788</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45788</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45788</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45788</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45788</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45788</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45788</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45788</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45788</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45788</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45788</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45788</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45788</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45788</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45788</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45788</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45788</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45788</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45788</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45788</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45788</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45788</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45788</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45788</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45788</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45788</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45788</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45788</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45788</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45788</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45788</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45788</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45788</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45788</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45788</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45788</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45788</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45788</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45788</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45788</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45788</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45788</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45788</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45788</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45788</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45788</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45788</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45788</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45788</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45788</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45788</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45788</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45788</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45788</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45788</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45788</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45788</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45788</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45788</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45788</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45788</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45788</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45788</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45788</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45788</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45788</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45788</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45788</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45788</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45788</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45788</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45788</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45788</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45788</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45788</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45788</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45788</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45788</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45788</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45788</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45788</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45788</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45788</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45788</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45788</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45788</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45788</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45788</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45788</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45788</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45788</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45788</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45788</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45788</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45788</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45788</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45788</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45788</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45788</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45788</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45788</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45788</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45788</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45788</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45788</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45788</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45788</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45788</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45788</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45788</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45788</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45788</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45788</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45788</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45788</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45788</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45788</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45788</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45788</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45788</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45788</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45788</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45788</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45788</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45788</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45788</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45788</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45788</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45788</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45788</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45788</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45788</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45788</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45788</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45788</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45788</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45788</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45788</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45788</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45788</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45788</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45788</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45788</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45788</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45788</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45788</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45788</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45788</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45788</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45788</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45788</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45788</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45788</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45788</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45788</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45788</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45788</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45788</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45788</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45788</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45788</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45788</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45788</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45788</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45788</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45788</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45788</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45788</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45788</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45788</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45788</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45788</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45788</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45788</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45788</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45788</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45788</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45788</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45788</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45788</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45788</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45788</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45788</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45788</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45788</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45788</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45788</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45788</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45788</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45788</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45788</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45788</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45788</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45788</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45788</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45788</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45788</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45788</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45788</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45788</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45788</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45788</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45788</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45788</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45788</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45788</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45788</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45788</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45788</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45788</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45788</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45788</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45788</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45788</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45788</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45788</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45788</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45788</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45788</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45788</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45788</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45788</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45788</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45788</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45788</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45788</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45788</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45788</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45788</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45788</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45788</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45788</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45788</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45788</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45788</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45788</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45788</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45788</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45788</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45788</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45788</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45788</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45788</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45788</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45788</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45788</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45788</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45788</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45788</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45788</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45788</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45788</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45788</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45788</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45788</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45788</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45788</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45788</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45788</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45788</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45788</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45788</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45788</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45788</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45788</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45788</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45788</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45788</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45788</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45788</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45788</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45788</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45788</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45788</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45788</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45788</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45788</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45788</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45788</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45788</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45788</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45788</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45788</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45788</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45788</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45788</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45788</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45788</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45788</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45788</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45788</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45788</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45788</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45788</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45788</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45788</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45788</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45788</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45788</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45788</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45788</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45788</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45788</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45788</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45788</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45788</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45788</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45788</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45788</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45788</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45788</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45788</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45788</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45788</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45788</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45788</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45788</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45788</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45788</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45788</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45788</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45788</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45788</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45788</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45788</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45788</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45788</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45788</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45788</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45788</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45788</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45788</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45788</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45788</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45788</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45788</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45788</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45788</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45788</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45788</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45788</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45788</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45788</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45788</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45788</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45788</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45788</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45788</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45788</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45788</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45788</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45788</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45788</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45788</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45788</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45788</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45788</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45788</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45788</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45788</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45788</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45788</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45788</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45788</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45788</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45788</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45788</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45788</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45788</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45788</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45788</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45788</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45788</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45788</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45788</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45788</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45788</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45788</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45788</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45788</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45788</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45788</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45788</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45788</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45788</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45788</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45788</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45788</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45788</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45788</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45788</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45788</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45788</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45788</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45788</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45788</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45788</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45788</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45788</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45788</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45788</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45788</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45788</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45788</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45788</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45788</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45788</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45788</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45788</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45788</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45788</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45788</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45788</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45788</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45788</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45788</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45788</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45788</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45788</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45788</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45788</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45788</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45788</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45788</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45788</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45788</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45788</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45788</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45788</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45788</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45788</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45788</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45788</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45788</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45788</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45788</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45788</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45788</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45788</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45788</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45788</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45788</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45788</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45788</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45788</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45788</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45788</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45788</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45788</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45788</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45788</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45788</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45788</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45788</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45788</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45788</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45788</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45788</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45788</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45788</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45788</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45788</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45788</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45788</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45788</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45788</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45788</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45788</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45788</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45788</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45788</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45788</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45788</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45788</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45788</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45788</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45788</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45788</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45788</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45788</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45788</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45788</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45788</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45788</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45788</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45788</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45788</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45788</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45788</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45788</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45788</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45788</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45788</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45788</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45788</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45788</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45788</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45788</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45788</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45788</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45788</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45788</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45788</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45788</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45788</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45788</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45788</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45788</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45788</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45788</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45788</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45788</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45788</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45788</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45788</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45788</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45788</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45788</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45788</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45788</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45788</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45788</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45788</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45788</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45788</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45788</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45788</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45788</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45788</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45788</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45788</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45788</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45788</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45788</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45788</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45788</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45788</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45788</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45788</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45788</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45788</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45788</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45788</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45788</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45788</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45788</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45788</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45788</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45788</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45788</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45788</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45788</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45788</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45788</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45788</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45788</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45788</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45788</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45788</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45788</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45788</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45788</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45788</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45788</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45788</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45788</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45788</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45788</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45788</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45788</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45788</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45788</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45788</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45788</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45788</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45788</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45788</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45788</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45788</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45788</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45788</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45788</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45788</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45788</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45788</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45788</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45788</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45788</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45788</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45788</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45788</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45788</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45788</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45788</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45788</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45788</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45788</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45788</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45788</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45788</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45788</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45788</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45788</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45788</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45788</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45788</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45788</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45788</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45788</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45788</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45788</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45788</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45788</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45788</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45788</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45788</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45788</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45788</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45788</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45788</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45788</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45788</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45788</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45788</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45788</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45788</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45788</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45788</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45788</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45788</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45788</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45788</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45788</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45788</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45788</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45788</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45788</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45788</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45788</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45788</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45788</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45788</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45788</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45788</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45788</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45788</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45788</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45788</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45788</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45788</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45788</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45788</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45788</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45788</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45788</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45788</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45788</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45788</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45788</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45788</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45788</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45788</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45788</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45788</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45788</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45788</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45788</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45788</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45788</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45788</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45788</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45788</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45788</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45788</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45788</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45788</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45788</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45788</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45788</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45788</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45788</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45788</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45788</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45788</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45788</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45788</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45788</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45788</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45788</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45788</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45788</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45788</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45788</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45788</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45788</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45788</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45788</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45788</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45788</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45788</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45788</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45788</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45788</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45788</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45788</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45788</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45788</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45788</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45788</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45788</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45788</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45788</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45788</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45788</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45788</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45788</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45788</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45788</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45788</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45788</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45788</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45788</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45788</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45788</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45788</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45788</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45788</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45788</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45788</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45788</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45788</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45788</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45788</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45788</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45788</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45788</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45788</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45788</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45788</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45788</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45788</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45788</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45788</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45788</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45788</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45788</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45788</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45788</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45788</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45788</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45788</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45788</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45788</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45788</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45788</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45788</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45788</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45788</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45788</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45788</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45788</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45788</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45788</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45788</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45788</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45788</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45788</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45788</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45788</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45788</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45788</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45788</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45788</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45788</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45788</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45788</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45788</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45788</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45788</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45788</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45788</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45788</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45788</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45788</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45788</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45788</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45788</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45788</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45788</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45788</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45788</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45788</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45788</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45788</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45788</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45788</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45788</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45788</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45788</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45788</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45788</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45788</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45788</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45788</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45788</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45788</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45788</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45788</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45788</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45788</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45788</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45788</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45788</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45788</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45788</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45788</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45788</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45788</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45788</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45788</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45788</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45788</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45788</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45788</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45788</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45788</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45788</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45788</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45788</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45788</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45788</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45788</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45788</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45788</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45788</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45788</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45788</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45788</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45788</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45788</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45788</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45788</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45788</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45788</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45788</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45788</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45788</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45788</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45788</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45788</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45788</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45788</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45788</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45788</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45788</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45788</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45788</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45788</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45788</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45788</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45788</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45788</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45788</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45788</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45788</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45788</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45788</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45788</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45788</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45788</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45788</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45788</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45788</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45788</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45788</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45788</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45788</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45788</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45788</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45788</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45788</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45788</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45788</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45788</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45788</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45788</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45788</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45788</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45788</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45788</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45788</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45788</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45788</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45788</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45788</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45788</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45788</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45788</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45788</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45788</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45788</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45788</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45788</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45788</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45788</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45788</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45788</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45788</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45788</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45788</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45788</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45788</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45788</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45788</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45788</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45788</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45788</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45788</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45788</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45788</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45788</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45788</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45788</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45788</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45788</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45788</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45788</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45788</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45788</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45788</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45788</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45788</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45788</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45788</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45788</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45788</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45788</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45788</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45788</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45788</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45788</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45788</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45788</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45788</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45788</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45788</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45788</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45788</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45788</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45788</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45788</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45788</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45788</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45788</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45788</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45788</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45788</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45788</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45788</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45788</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45788</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45788</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45788</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45788</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45788</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45788</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45788</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45788</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45788</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45788</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45788</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45788</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45788</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45788</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45788</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45788</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45788</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45788</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45788</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45788</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45788</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45788</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45788</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45788</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45788</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45788</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45788</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45788</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45788</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45788</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45788</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45788</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45788</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45788</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45788</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45788</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45788</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45788</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45788</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45788</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45788</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45788</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45788</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45788</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45788</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45788</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45788</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45788</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45788</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45788</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45788</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45788</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45788</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45788</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45788</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45788</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45788</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45788</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45788</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45788</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45788</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45788</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45788</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45788</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45788</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45788</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45788</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45788</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45788</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45788</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45788</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45788</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45788</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45788</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45788</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45788</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45788</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45788</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45788</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45788</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45788</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45788</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45788</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45788</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45788</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45788</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45788</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45788</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45788</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45788</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45788</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45788</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45788</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45788</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45788</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45788</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45788</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45788</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45788</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45788</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45788</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45788</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45788</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45788</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45788</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45788</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45788</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45788</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45788</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45788</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45788</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45788</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45788</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45788</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45788</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45788</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45788</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45788</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45788</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45788</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45788</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45788</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45788</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45788</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45788</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45788</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45788</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45788</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45788</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45788</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45788</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45788</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45788</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45788</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45788</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45788</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45788</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45788</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45788</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45788</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45788</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45788</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45788</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45788</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45788</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45788</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45788</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45788</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45788</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45788</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45788</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45788</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45788</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45788</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45788</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45788</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45788</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45788</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45788</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45788</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45788</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45788</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45788</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45788</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45788</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45788</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45788</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45788</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45788</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45788</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45788</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45788</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45788</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45788</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45788</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45788</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45788</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45788</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45788</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45788</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45788</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45788</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45788</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45788</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45788</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45788</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45788</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45788</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45788</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45788</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45788</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45788</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45788</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45788</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45788</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45788</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45788</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45788</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45788</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45788</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45788</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45788</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45788</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45788</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45788</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45788</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45788</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45788</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45788</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45788</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45788</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45788</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45788</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45788</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45788</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45788</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45788</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45788</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45788</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45788</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45788</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45788</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45788</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45788</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45788</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45788</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45788</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45788</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45788</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45788</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45788</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45788</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45788</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45788</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45788</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45788</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45788</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45788</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45788</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45788</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45788</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45788</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45788</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45788</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45788</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45788</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45788</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45788</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45788</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45788</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45788</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45788</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45788</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45788</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45788</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45788</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45788</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45788</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45788</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45788</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45788</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45788</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45788</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45788</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45788</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45788</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45788</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45788</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45788</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45788</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45788</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45788</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45788</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45788</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45788</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45788</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45788</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45788</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45788</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45788</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45788</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45788</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45788</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45788</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45788</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45788</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45788</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45788</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45788</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45788</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45788</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45788</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45788</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45788</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45788</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45788</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45788</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45788</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45788</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45788</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45788</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45788</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45788</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45788</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45788</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45788</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45788</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45788</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45788</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45788</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45788</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45788</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45788</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45788</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45788</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45788</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45788</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45788</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45788</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45788</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45788</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45788</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45788</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45788</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45788</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45788</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45788</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45788</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45788</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45788</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45788</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45788</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45788</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45788</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45788</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45788</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45788</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45788</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45788</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45788</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45788</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45788</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45788</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45788</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45788</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45788</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45788</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45788</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45788</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45788</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45788</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45788</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45788</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45788</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45788</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45788</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45788</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45788</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45788</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45788</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45788</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45788</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45788</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45788</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45788</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45788</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45788</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45788</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45788</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45788</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45788</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45788</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45788</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45788</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45788</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45788</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45788</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45788</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45788</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45788</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45788</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45788</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45788</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45788</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45788</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45788</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45788</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45788</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45788</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45788</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45788</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45788</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45788</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45788</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45788</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45788</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45788</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45788</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45788</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45788</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45788</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45788</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45788</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45788</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45788</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45788</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45788</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45788</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45788</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45788</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45788</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45788</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45788</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45788</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45788</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45788</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45788</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45788</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45788</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45788</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45788</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45788</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45788</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45788</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45788</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45788</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45788</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45788</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45788</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45788</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45788</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45788</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45788</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45788</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45788</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45788</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45788</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45788</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45788</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45788</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45788</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45788</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45788</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45788</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45788</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45788</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45788</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45788</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45788</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45788</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45788</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45788</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45788</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45788</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45788</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45788</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45788</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45788</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45788</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45788</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45788</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45788</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45788</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45788</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45788</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45788</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45788</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45788</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45788</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45788</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45788</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45788</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45788</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45788</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45788</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45788</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45788</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45788</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45788</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45788</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45788</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45788</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45788</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45788</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45788</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45788</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45788</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45788</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45788</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45788</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45788</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45788</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45788</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45788</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45788</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45788</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45788</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45788</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45788</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45788</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45788</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45788</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45788</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45788</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45788</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45788</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45788</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45788</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45788</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45788</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45788</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45788</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45788</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45788</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45788</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45788</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45788</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45788</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45788</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45788</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45788</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45788</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45788</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45788</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45788</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45788</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45788</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45788</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45788</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45788</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45788</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45788</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45788</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45788</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45788</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45788</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45788</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45788</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45788</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45788</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45788</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45788</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45788</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45788</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45788</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45788</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45788</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45788</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45788</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45788</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45788</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45788</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45788</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45788</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45788</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45788</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45788</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45788</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45788</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45788</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45788</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45788</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45788</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45788</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45788</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45788</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45788</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45788</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45788</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45788</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45788</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45788</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45788</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45788</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45788</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45788</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45788</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45788</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45788</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45788</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45788</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45788</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45788</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45788</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45788</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45788</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45788</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45788</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45788</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45788</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45788</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45788</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45788</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45788</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45788</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45788</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45788</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45788</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45788</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45788</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45788</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45788</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45788</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45788</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45788</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45788</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45788</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45788</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45788</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45788</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45788</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45788</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45788</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45788</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45788</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45788</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45788</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45788</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45788</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45788</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45788</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45788</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45788</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45788</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45788</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45788</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45788</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45788</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45788</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45788</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45788</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45788</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45788</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45788</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45788</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45788</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45788</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45788</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45788</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45788</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45788</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45788</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45788</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45788</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45788</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45788</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45788</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45788</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45788</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45788</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45788</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45788</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45788</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45788</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45788</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45788</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45788</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45788</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45788</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45788</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45788</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45788</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45788</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45788</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45788</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45788</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45788</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45788</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45788</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45788</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45788</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45788</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45788</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45788</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45788</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45788</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45788</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45788</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45788</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45788</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45788</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45788</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45788</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45788</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45788</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45788</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45788</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45788</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45788</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45788</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45788</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45788</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45788</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45788</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45788</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45788</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45788</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45788</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45788</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45788</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45788</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45788</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45788</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45788</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45788</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45788</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45788</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45788</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45788</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45788</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45788</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45788</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45788</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45788</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45788</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45788</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45788</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45788</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45788</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45788</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45788</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45788</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45788</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45788</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45788</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45788</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45788</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45788</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45788</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45788</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45788</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45788</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45788</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45788</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45788</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45788</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45788</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45788</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45788</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45788</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45788</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45788</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45788</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45788</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45788</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45788</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45788</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45788</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45788</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45788</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45788</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45788</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45788</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45788</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45788</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45788</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45788</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45788</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45788</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45788</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45788</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45788</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45788</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45788</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45788</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45788</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45788</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45788</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45788</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45788</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45788</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45788</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45788</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45788</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45788</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45788</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45788</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45788</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45788</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45788</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45788</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45788</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45788</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45788</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45788</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45788</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45788</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45788</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45788</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45788</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45788</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45788</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45788</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45788</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45788</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45788</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45788</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45788</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45788</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45788</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45788</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45788</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45788</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45788</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45788</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45788</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45788</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45788</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45788</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45788</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45788</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45788</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45788</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45788</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45788</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45788</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45788</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45788</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45788</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45788</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45788</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45788</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45788</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45788</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45788</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45788</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45788</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45788</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45788</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45788</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45788</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45788</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45788</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45788</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45788</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45788</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45788</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45788</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45788</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45788</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45788</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45788</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45788</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45788</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45788</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45788</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45788</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45788</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45788</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45788</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45788</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45788</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45788</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45788</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45788</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45788</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45788</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45788</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45788</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45788</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45788</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45788</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45788</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45788</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45788</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45788</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45788</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45788</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45788</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45788</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45788</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45788</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45788</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45788</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45788</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45788</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45788</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45788</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45788</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45788</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45788</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45788</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45788</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45788</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45788</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45788</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45788</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45788</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45788</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45788</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45788</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45788</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45788</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45788</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45788</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45788</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45788</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45788</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45788</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45788</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45788</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45788</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45788</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45788</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45788</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45788</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45788</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45788</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45788</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45788</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45788</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45788</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45788</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45788</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45788</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45788</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45788</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45788</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45788</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45788</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45788</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45788</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45788</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45788</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45788</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45788</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45788</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45788</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45788</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45788</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45788</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45788</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45788</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45788</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45788</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45788</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45788</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45788</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45788</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45788</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45788</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45788</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45788</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45788</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45788</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45788</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45788</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45788</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45788</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45788</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45788</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45788</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45788</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45788</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45788</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45788</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45788</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45788</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45788</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45788</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45788</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45788</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45788</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45788</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45788</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45788</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45788</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45788</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45788</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45788</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45788</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45788</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45788</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45788</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45788</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45788</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45788</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45788</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45788</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45788</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45788</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45788</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45788</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45788</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45788</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45788</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45788</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45788</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45788</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45788</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45788</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45788</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45788</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45788</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45788</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45788</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45788</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45788</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45788</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45788</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45788</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45788</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45788</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45788</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45788</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45788</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45788</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45788</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45788</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45788</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45788</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45788</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45788</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45788</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45788</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45788</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45788</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45788</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45788</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45788</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45788</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45788</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45788</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45788</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45788</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45788</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45788</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45788</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45788</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45788</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45788</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45788</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45788</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45788</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45788</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45788</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45788</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45788</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45788</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45788</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45788</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45788</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45788</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45788</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45788</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45788</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45788</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45788</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45788</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45788</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45788</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45788</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45788</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45788</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45788</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45788</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45788</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45788</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45788</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45788</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45788</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45788</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45788</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45788</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45788</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45788</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45788</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45788</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45788</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45788</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45788</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45788</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45788</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45788</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45788</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45788</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45788</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45788</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45788</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45788</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45788</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45788</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45788</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45788</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45788</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45788</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45788</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45788</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45788</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45788</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45788</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45788</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45788</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45788</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45788</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45788</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45788</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45788</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45788</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45788</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45788</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45788</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45788</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45788</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45788</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45788</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45788</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45788</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45788</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45788</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45788</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45788</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45788</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45788</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45788</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45788</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45788</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45788</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45788</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45788</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45788</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45788</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45788</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45788</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45788</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45788</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45788</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45788</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45788</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45788</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45788</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45788</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45788</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45788</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45788</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45788</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45788</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45788</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45788</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45788</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45788</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45788</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45788</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45788</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45788</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45788</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45788</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45788</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45788</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45788</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45788</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45788</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45788</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45788</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45788</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45788</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45788</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45788</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45788</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45788</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45788</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45788</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45788</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45788</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45788</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45788</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45788</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45788</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45788</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45788</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45788</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45788</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45788</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45788</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45788</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45788</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45788</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45788</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45788</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45788</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45788</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45788</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45788</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45788</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45788</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45788</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45788</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45788</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45788</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45788</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45788</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45788</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45788</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45788</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45788</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45788</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45788</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45788</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45788</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45788</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45788</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45788</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45788</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45788</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45788</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45788</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45788</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45788</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45788</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45788</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45788</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45788</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45788</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45788</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45788</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45788</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45788</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45788</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45788</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45788</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45788</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45788</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45788</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45788</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45788</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45788</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45788</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45788</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45788</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45788</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45788</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45788</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45788</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45788</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45788</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45788</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45788</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45788</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45788</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45788</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45788</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45788</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45788</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45788</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45788</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45788</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45788</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45788</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45788</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45788</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45788</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45788</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45788</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45788</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45788</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45788</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45788</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45788</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45788</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45788</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45788</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45788</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45788</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45788</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45788</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45788</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45788</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45788</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45788</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45788</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45788</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45788</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45788</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45788</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45788</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45788</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45788</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45788</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45788</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45788</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45788</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45788</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45788</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45788</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45788</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45788</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45788</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45788</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45788</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45788</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45788</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45788</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45788</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45788</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45788</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45788</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45788</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45788</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45788</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45788</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45788</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45788</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45788</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45788</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45788</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45788</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45788</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45788</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45788</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45788</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45788</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45788</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45788</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45788</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45788</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45788</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45788</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45788</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45788</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45788</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45788</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45788</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45788</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45788</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45788</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45788</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45788</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45788</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45788</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45788</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45788</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45788</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45788</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45788</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45788</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45788</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45788</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45788</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45788</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45788</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45788</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45788</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45788</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45788</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45788</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45788</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45788</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45788</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45788</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45788</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45788</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45788</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45788</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45788</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45788</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45788</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45788</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45788</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45788</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45788</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45788</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45788</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45788</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45788</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45788</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45788</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45788</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45788</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45788</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45788</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45788</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45788</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45788</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45788</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45788</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45788</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45788</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45788</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45788</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45788</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45788</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45788</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45788</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45788</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45788</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45788</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45788</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45788</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45788</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45788</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45788</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45788</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45788</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45788</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45788</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45788</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45788</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45788</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45788</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45788</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45788</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45788</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45788</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45788</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45788</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45788</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45788</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45788</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45788</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45788</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45788</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45788</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45788</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45788</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45788</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45788</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45788</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45788</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45788</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45788</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45788</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45788</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45788</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45788</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45788</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45788</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45788</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45788</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45788</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45788</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45788</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45788</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45788</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45788</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45788</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45788</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45788</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45788</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45788</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45788</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45788</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45788</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45788</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45788</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45788</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45788</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45788</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45788</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45788</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45788</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45788</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45788</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45788</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45788</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45788</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45788</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45788</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45788</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45788</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45788</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45788</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45788</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45788</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45788</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45788</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45788</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45788</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45788</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45788</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45788</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45788</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45788</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45788</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45788</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45788</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45788</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45788</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45788</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45788</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45788</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45788</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45788</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45788</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45788</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45788</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45788</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45788</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45788</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45788</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45788</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45788</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45788</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45788</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45788</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45788</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45788</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45788</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45788</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45788</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45788</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45788</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45788</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45788</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45788</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45788</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45788</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45788</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45788</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45788</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45788</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45788</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45788</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45788</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45788</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45788</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45788</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45788</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45788</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45788</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45788</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45788</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45788</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45788</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45788</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45788</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45788</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45788</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45788</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45788</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45788</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45788</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45788</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45788</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45788</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45788</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45788</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45788</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45788</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45788</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45788</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45788</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45788</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45788</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45788</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45788</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45788</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45788</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45788</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45788</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45788</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45788</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45788</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45788</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45788</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45788</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45788</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45788</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45788</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45788</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45788</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45788</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45788</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45788</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45788</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45788</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45788</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45788</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45788</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45788</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45788</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45788</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45788</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45788</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45788</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45788</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45788</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45788</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45788</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45788</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45788</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45788</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45788</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45788</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45788</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45788</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45788</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45788</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45788</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45788</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45788</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45788</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45788</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45788</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45788</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45788</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45788</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45788</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45788</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45788</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45788</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45788</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45788</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45788</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45788</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45788</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45788</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45788</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45788</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45788</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45788</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45788</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45788</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45788</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45788</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45788</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45788</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45788</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45788</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45788</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45788</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45788</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45788</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45788</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45788</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45788</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45788</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45788</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45788</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45788</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45788</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45788</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45788</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45788</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45788</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45788</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45788</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45788</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45788</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45788</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45788</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45788</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45788</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45788</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45788</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45788</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45788</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45788</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45788</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45788</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45788</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45788</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45788</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45788</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45788</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45788</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45788</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45788</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45788</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45788</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45788</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45788</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45788</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45788</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45788</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45788</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45788</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45788</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45788</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45788</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45788</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45788</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45788</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45788</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45788</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45788</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45788</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45788</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45788</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45788</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45788</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45788</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45788</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45788</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45788</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45788</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45788</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45788</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45788</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45788</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45788</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45788</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45788</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45788</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45788</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45788</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45788</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45788</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45788</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45788</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45788</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45788</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45788</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45788</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45788</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45788</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45788</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45788</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45788</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45788</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45788</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45788</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45788</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45788</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45788</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45788</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45788</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45788</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45788</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45788</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45788</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45788</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45788</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45788</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45788</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45788</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45788</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45788</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45788</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45788</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45788</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45788</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45788</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45788</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45788</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45788</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45788</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45788</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45788</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45788</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45788</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45788</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45788</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45788</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45788</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45788</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45788</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45788</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45788</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45788</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45788</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45788</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45788</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45788</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45788</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45788</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45788</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45788</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45788</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45788</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45788</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45788</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45788</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45788</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45788</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45788</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45788</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45788</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45788</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45788</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45788</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45788</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45788</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45788</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45788</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45788</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45788</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45788</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45788</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45788</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45788</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45788</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45788</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45788</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45788</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45788</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45788</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45788</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45788</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45788</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45788</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45788</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45788</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45788</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45788</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45788</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45788</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45788</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45788</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45788</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45788</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45788</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45788</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45788</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45788</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45788</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45788</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45788</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45788</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45788</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45788</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45788</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45788</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45788</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45788</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45788</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45788</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45788</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45788</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45788</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45788</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45788</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45788</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45788</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45788</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45788</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45788</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45788</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45788</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45788</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45788</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45788</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45788</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45788</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45788</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45788</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45788</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45788</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45788</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45788</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45788</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45788</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45788</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45788</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45788</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45788</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45788</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45788</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45788</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45788</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45788</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45788</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45788</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45788</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45788</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45788</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45788</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45788</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45788</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45788</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45788</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45788</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45788</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45788</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45788</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45788</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45788</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45788</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45788</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45788</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45788</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45788</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45788</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45788</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45788</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45788</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45788</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45788</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45788</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45788</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45788</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45788</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45788</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45788</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45788</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45788</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45788</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45788</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45788</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45788</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45788</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45788</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45788</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45788</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45788</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45788</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45788</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45788</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45788</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45788</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45788</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45788</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45788</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45788</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45788</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45788</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45788</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45788</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45788</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45788</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45788</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45788</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45788</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45788</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45788</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45788</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45788</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45788</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45788</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45788</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45788</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45788</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45788</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45788</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45788</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45788</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45788</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45788</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45788</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45788</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45788</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45788</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45788</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45788</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45788</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45788</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45788</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45788</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45788</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45788</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45788</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45788</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45788</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45788</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45788</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45788</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45788</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45788</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45788</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45788</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45788</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45788</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45788</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45788</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45788</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45788</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45788</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45788</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45788</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45788</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45788</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45788</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45788</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45788</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45788</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45788</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45788</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45788</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45788</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45788</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45788</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45788</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45788</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45788</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45788</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45788</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45788</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45788</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45788</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45788</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45788</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45788</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45788</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45788</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45788</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45788</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45788</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45788</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45788</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45788</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45788</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45788</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45788</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45788</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45788</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45788</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45788</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45788</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45788</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45788</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45788</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45788</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45788</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45788</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45788</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45788</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45788</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45788</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45788</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45788</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45788</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45788</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45788</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45788</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45788</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45788</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45788</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45788</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45788</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45788</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45788</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45788</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45788</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45788</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45788</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45788</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45788</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45788</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45788</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45788</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45788</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45788</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45788</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45788</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45788</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45788</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45788</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45788</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45788</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45788</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45788</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45788</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45788</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45788</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45788</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45788</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45788</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45788</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45788</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45788</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45788</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45788</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45788</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45788</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45788</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45788</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45788</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45788</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45788</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45788</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45788</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45788</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45788</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45788</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45788</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45788</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45788</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45788</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45788</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45788</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45788</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45788</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45788</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45788</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45788</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45788</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45788</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45788</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45788</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45788</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45788</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45788</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45788</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45788</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45788</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45788</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45788</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45788</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45788</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45788</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45788</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45788</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45788</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45788</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45788</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45788</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45788</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45788</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45788</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45788</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45788</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45788</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45788</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45788</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45788</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45788</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45788</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45788</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45788</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45788</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45788</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45788</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45788</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45788</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45788</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45788</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45788</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45788</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45788</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45788</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45788</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45788</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45788</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45788</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45788</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45788</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45788</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45788</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45788</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45788</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45788</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45788</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45788</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45788</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45788</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45788</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45788</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45788</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45788</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45788</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45788</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45788</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45788</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45788</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45788</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45788</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45788</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45788</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45788</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45788</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45788</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45788</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45788</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45788</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45788</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45788</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45788</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45788</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45788</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45788</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45788</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45788</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45788</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45788</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45788</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45788</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45788</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45788</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45788</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45788</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45788</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45788</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45788</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45788</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45788</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45788</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45788</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45788</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45788</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45788</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45788</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45788</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45788</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45788</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45788</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45788</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45788</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45788</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45788</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45788</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45788</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45788</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45788</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45788</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45788</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45788</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45788</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45788</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45788</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45788</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45788</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45788</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45788</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45788</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45788</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45788</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45788</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45788</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45788</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45788</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45788</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45788</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45788</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45788</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45788</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45788</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45788</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45788</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45788</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45788</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45788</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45788</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45788</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45788</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45788</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45788</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45788</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45788</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45788</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45788</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45788</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45788</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45788</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45788</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45788</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45788</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45788</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45788</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45788</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45788</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45788</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45788</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45788</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45788</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45788</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45788</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45788</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45788</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45788</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45788</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45788</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45788</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45788</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45788</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45788</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45788</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45788</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45788</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45788</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45788</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45788</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45788</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45788</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45788</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45788</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45788</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45788</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45788</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45788</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45788</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45788</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45788</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45788</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45788</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45788</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45788</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45788</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45788</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45788</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45788</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45788</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45788</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45788</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45788</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45788</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45788</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45788</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45788</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45788</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45788</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45788</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45788</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45788</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45788</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45788</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45788</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45788</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45788</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45788</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45788</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45788</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45788</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45788</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45788</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45788</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45788</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45788</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45788</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45788</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45788</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45788</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45788</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45788</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45788</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45788</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45788</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45788</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45788</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45788</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45788</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45788</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45788</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45788</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45788</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45788</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45788</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45788</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45788</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45788</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45788</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45788</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45788</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45788</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45788</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45788</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45788</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45788</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45788</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45788</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45788</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45788</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45788</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45788</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45788</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45788</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45788</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45788</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45788</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45788</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45788</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45788</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45788</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45788</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45788</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45788</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45788</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45788</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45788</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45788</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45788</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45788</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45788</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45788</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45788</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45788</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45788</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45788</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45788</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45788</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45788</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45788</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45788</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45788</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45788</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45788</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45788</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45788</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45788</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45788</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45788</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45788</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45788</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45788</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45788</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45788</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45788</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45788</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45788</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45788</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45788</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45788</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45788</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45788</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45788</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45788</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45788</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45788</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45788</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45788</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45788</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45788</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45788</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45788</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45788</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45788</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45788</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45788</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45788</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45788</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45788</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45788</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45788</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45788</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45788</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45788</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45788</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45788</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45788</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45788</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45788</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45788</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45788</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45788</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45788</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45788</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45788</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45788</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45788</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45788</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45788</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45788</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45788</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45788</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45788</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45788</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45788</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45788</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45788</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45788</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45788</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45788</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45788</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45788</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45788</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45788</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45788</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45788</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45788</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45788</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45788</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45788</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45788</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45788</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45788</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45788</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45788</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45788</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45788</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45788</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45788</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45788</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45788</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45788</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45788</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45788</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45788</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45788</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45788</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45788</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45788</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45788</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45788</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45788</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45788</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45788</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45788</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45788</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45788</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45788</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45788</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45788</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45788</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45788</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45788</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45788</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45788</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45788</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45788</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45788</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45788</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45788</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45788</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45788</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45788</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45788</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45788</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45788</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45788</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45788</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45788</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45788</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45788</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45788</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45788</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45788</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45788</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45788</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45788</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45788</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45788</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45788</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45788</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45788</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45788</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45788</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45788</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45788</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45788</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45788</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45788</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45788</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45788</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45788</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45788</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45788</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45788</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45788</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45788</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45788</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45788</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45788</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45788</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45788</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45788</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45788</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45788</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45788</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45788</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45788</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45788</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45788</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45788</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45788</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45788</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45788</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45788</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45788</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45788</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45788</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45788</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45788</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45788</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45788</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45788</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45788</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45788</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45788</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45788</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45788</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45788</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45788</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45788</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45788</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45788</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45788</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45788</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45788</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45788</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45788</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45788</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45788</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45788</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45788</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45788</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45788</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45788</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45788</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45788</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45788</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45788</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45788</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45788</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45788</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45788</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45788</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45788</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45788</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45788</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45788</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45788</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45788</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45788</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45788</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45788</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45788</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45788</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45788</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45788</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45788</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45788</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45788</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45788</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45788</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45788</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45788</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45788</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45788</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45788</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45788</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45788</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45788</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45788</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45788</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45788</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45788</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45788</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45788</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45788</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45788</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45788</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45788</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45788</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45788</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45788</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45788</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45788</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45788</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45788</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45788</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45788</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45788</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45788</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45788</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45788</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45788</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45788</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45788</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45788</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45788</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45788</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45788</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45788</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45788</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45788</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45788</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45788</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45788</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45788</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45788</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45788</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45788</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45788</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45788</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45788</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45788</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45788</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45788</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45788</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45788</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45788</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45788</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45788</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45788</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45788</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45788</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45788</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45788</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45788</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45788</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45788</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45788</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45788</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45788</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45788</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45788</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45788</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45788</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45788</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45788</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45788</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45788</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45788</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45788</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45788</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45788</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45788</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45788</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45788</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45788</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45788</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45788</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45788</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45788</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45788</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45788</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45788</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45788</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45788</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45788</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45788</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45788</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45788</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45788</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45788</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45788</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45788</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45788</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45788</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45788</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45788</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45788</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45788</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45788</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45788</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45788</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45788</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45788</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45788</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45788</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45788</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45788</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45788</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45788</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45788</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45788</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45788</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45788</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45788</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45788</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45788</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45788</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45788</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45788</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45788</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45788</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45788</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45788</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45788</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45788</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45788</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45788</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45788</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45788</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45788</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45788</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45788</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45788</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45788</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45788</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45788</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45788</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45788</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45788</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45788</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45788</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45788</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45788</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45788</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45788</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45788</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45788</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45788</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45788</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45788</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45788</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45788</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45788</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45788</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45788</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45788</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45788</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45788</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45788</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45788</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45788</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45788</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45788</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45788</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45788</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45788</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45788</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45788</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45788</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45788</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45788</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45788</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45788</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45788</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45788</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45788</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45788</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45788</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45788</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45788</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45788</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45788</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45788</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45788</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45788</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45788</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45788</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45788</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45788</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45788</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45788</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45788</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45788</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45788</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45788</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45788</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45788</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45788</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45788</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45788</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45788</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45788</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45788</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45788</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45788</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45788</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45788</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45788</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45788</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45788</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45788</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45788</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45788</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45788</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45788</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45788</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45788</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45788</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45788</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45788</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45788</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45788</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45788</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45788</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45788</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45788</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45788</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45788</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45788</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45788</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45788</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45788</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45788</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45788</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45788</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45788</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45788</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45788</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45788</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45788</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45788</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45788</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45788</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45788</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45788</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45788</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45788</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45788</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45788</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45788</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45788</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45788</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45788</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45788</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45788</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45788</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45788</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45788</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45788</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45788</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45788</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45788</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45788</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45788</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45788</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45788</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45788</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45788</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45788</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45788</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45788</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45788</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45788</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45788</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45788</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45788</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45788</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45788</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45788</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45788</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45788</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45788</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45788</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45788</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45788</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45788</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45788</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45788</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45788</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45788</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45788</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45788</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45788</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45788</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45788</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45788</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45788</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45788</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45788</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45788</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45788</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45788</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45788</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45788</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45788</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45788</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45788</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45788</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45788</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45788</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45788</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45788</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45788</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45788</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45788</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45788</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45788</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45788</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45788</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45788</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45788</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45788</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45788</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45788</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45788</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45788</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45788</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45788</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45788</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45788</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45788</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45788</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45788</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45788</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45788</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45788</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45788</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45788</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45788</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45788</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45788</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45788</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45788</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45788</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45788</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45788</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45788</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45788</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45788</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45788</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45788</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45788</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45788</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45788</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45788</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45788</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45788</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45788</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45788</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45788</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45788</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45788</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45788</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45788</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45788</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45788</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45788</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45788</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45788</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45788</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45788</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45788</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45788</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45788</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45788</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45788</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45788</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45788</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45788</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45788</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45788</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45788</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45788</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45788</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45788</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45788</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45788</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45788</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45788</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45788</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45788</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45788</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45788</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45788</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45788</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45788</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45788</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45788</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45788</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45788</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45788</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45788</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45788</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45788</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45788</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45788</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45788</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45788</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45788</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45788</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45788</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45788</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45788</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45788</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45788</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45788</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45788</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45788</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45788</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45788</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45788</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45788</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45788</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45788</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45788</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45788</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45788</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45788</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45788</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45788</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45788</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45788</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45788</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45788</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45788</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45788</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45788</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45788</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45788</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45788</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45788</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45788</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45788</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45788</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45788</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45788</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45788</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45788</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45788</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45788</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45788</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45788</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45788</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45788</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45788</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45788</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45788</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45788</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45788</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45788</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45788</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45788</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45788</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45788</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45788</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45788</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45788</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45788</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45788</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45788</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45788</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45788</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45788</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45788</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45788</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45788</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45788</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45788</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45788</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45788</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45788</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45788</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45788</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45788</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45788</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45788</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45788</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45788</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45788</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45788</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45788</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45788</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45788</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45788</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45788</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45788</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45788</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45788</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45788</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45788</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45788</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45788</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45788</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45788</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45788</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45788</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45788</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45788</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45788</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45788</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45788</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45788</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45788</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45788</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45788</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45788</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45788</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45788</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45788</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45788</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45788</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45788</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45788</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45788</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45788</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45788</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45788</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45788</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45788</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45788</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45788</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45788</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45788</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45788</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45788</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45788</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45788</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45788</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45788</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45788</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45788</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45788</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45788</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45788</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45788</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45788</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45788</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45788</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45788</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45788</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45788</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45788</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45788</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45788</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45788</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45788</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45788</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45788</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45788</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45788</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45788</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45788</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45788</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45788</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45788</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45788</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45788</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45788</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45788</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45788</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45788</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45788</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45788</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45788</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45788</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45788</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45788</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45788</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45788</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45788</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45788</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45788</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45788</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45788</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45788</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45788</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45788</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45788</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45788</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45788</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45788</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45788</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45788</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45788</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45788</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45788</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45788</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45788</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45788</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45788</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45788</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45788</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45788</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45788</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45788</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45788</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45788</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45788</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45788</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45788</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45788</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45788</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45788</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45788</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45788</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45788</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45788</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45788</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45788</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45788</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45788</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45788</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45788</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45788</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45788</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45788</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45788</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45788</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45788</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45788</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45788</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45788</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45788</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45788</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45788</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45788</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45788</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45788</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45788</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45788</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45788</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45788</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45788</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45788</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45788</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45788</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45788</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45788</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45788</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45788</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45788</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45788</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45788</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45788</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45788</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45788</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45788</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45788</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45788</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45788</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45788</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45788</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45788</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45788</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45788</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45788</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45788</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45788</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45788</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45788</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45788</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45788</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45788</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45788</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45788</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45788</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45788</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45788</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45788</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45788</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45788</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45788</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45788</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45788</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45788</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45788</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45788</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45788</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45788</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45788</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45788</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45788</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45788</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45788</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45788</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45788</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45788</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45788</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45788</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45788</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45788</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45788</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45788</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45788</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45788</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45788</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45788</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45788</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45788</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45788</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45788</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45788</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45788</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45788</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45788</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45788</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45788</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45788</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45788</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45788</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45788</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45788</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45788</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45788</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45788</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45788</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45788</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45788</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45788</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45788</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45788</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45788</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45788</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45788</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45788</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45788</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45788</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45788</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45788</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45788</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45788</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45788</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45788</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45788</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45788</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45788</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45788</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45788</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45788</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45788</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45788</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45788</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45788</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45788</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45788</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45788</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45788</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45788</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45788</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45788</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45788</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45788</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45788</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45788</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45788</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45788</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45788</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45788</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45788</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45788</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45788</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45788</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45788</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45788</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45788</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45788</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45788</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45788</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45788</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45788</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45788</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45788</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45788</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45788</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45788</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45788</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45788</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45788</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45788</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45788</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45788</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45788</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45788</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45788</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45788</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45788</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45788</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45788</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45788</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45788</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45788</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45788</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45788</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45788</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45788</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45788</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45788</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45788</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45788</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45788</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45788</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45788</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45788</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45788</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45788</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45788</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45788</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45788</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45788</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45788</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45788</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45788</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45788</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45788</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45788</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45788</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45788</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45788</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45788</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45788</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45788</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45788</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45788</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45788</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45788</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45788</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45788</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45788</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45788</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45788</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45788</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45788</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45788</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45788</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45788</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45788</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45788</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45788</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45788</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45788</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45788</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45788</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45788</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45788</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45788</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45788</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45788</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45788</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45788</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45788</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45788</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45788</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45788</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45788</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45788</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45788</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45788</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45788</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45788</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45788</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45788</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45788</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45788</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45788</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45788</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45788</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45788</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45788</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45788</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45788</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45788</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45788</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45788</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45788</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45788</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45788</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45788</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45788</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45788</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45788</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45788</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45788</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45788</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45788</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45788</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45788</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45788</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45788</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45788</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45788</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45788</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45788</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45788</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45788</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45788</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45788</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45788</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45788</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45788</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45788</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45788</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45788</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45788</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45788</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45788</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45788</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45788</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45788</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45788</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45788</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45788</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45788</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45788</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45788</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45788</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45788</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45788</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45788</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45788</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45788</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45788</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45788</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45788</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45788</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45788</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45788</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45788</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45788</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45788</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45788</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45788</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45788</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45788</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45788</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45788</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45788</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45788</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45788</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45788</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45788</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45788</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45788</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45788</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45788</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45788</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45788</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45788</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45788</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45788</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45788</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45788</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45788</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45788</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45788</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45788</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45788</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45788</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45788</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45788</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45788</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45788</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45788</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45788</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45788</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45788</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45788</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45788</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45788</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45788</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45788</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45788</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45788</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45788</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45788</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45788</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45788</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45788</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45788</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45788</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45788</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45788</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45788</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45788</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45788</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45788</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45788</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45788</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45788</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45788</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45788</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45788</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45788</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45788</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45788</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45788</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45788</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45788</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45788</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45788</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45788</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45788</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45788</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45788</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45788</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45788</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45788</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45788</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45788</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45788</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45788</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45788</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45788</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45788</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45788</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45788</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45788</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45788</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45788</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45788</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45788</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45788</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45788</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45788</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45788</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45788</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45788</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45788</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45788</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45788</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45788</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45788</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45788</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45788</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45788</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45788</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45788</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45788</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45788</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45788</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45788</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45788</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45788</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45788</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45788</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45788</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45788</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45788</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45788</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45788</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45788</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45788</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45788</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45788</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45788</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45788</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45788</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45788</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45788</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45788</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45788</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45788</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45788</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45788</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45788</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45788</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45788</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45788</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45788</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45788</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45788</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45788</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45788</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45788</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45788</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45788</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45788</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45788</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45788</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45788</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45788</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45788</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45788</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45788</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45788</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45788</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45788</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45788</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45788</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45788</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45788</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45788</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45788</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45788</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45788</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45788</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45788</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45788</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45788</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45788</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45788</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45788</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45788</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45788</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45788</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45788</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45788</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45788</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45788</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45788</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45788</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45788</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45788</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45788</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45788</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45788</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45788</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45788</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45788</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45788</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45788</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45788</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45788</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45788</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45788</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45788</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45788</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45788</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45788</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45788</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45788</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45788</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45788</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45788</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45788</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45788</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45788</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45788</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45788</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45788</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45788</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45788</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45788</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45788</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45788</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45788</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45788</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45788</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45788</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45788</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45788</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45788</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45788</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45788</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45788</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45788</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45788</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45788</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45788</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45788</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45788</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45788</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45788</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45788</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45788</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45788</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45788</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45788</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45788</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45788</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45788</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45788</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45788</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45788</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45788</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45788</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45788</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45788</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45788</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45788</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45788</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45788</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45788</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45788</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45788</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45788</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45788</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45788</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45788</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45788</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45788</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45788</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45788</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45788</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45788</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45788</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45788</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45788</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45788</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45788</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45788</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45788</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45788</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45788</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45788</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45788</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45788</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45788</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45788</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45788</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45788</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45788</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45788</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45788</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45788</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45788</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45788</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45788</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45788</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45788</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45788</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45788</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45788</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45788</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45788</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45788</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45788</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45788</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45788</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45788</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45788</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45788</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45788</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45788</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45788</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45788</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45788</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45788</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45788</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45788</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45788</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45788</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45788</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45788</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45788</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45788</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45788</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45788</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45788</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45788</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45788</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45788</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45788</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45788</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45788</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45788</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45788</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45788</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45788</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45788</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45788</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45788</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45788</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45788</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45788</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45788</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45788</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45788</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45788</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45788</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45788</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45788</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45788</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45788</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45788</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45788</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45788</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45788</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45788</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45788</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45788</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45788</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45788</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45788</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45788</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45788</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45788</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45788</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45788</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45788</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45788</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45788</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45788</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45788</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45788</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45788</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45788</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45788</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45788</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45788</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45788</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45788</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45788</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45788</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45788</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45788</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45788</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45788</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45788</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45788</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45788</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45788</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45788</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45788</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45788</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45788</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45788</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45788</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45788</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45788</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45788</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45788</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45788</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45788</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45788</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45788</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45788</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45788</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45788</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45788</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45788</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45788</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45788</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45788</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45788</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45788</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45788</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45788</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45788</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45788</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45788</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45788</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45788</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45788</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45788</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45788</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45788</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45788</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45788</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45788</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45788</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45788</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45788</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45788</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45788</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45788</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45788</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45788</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45788</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45788</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45788</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45788</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45788</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45788</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45788</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45788</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45788</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45788</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45788</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45788</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45788</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45788</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45788</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45788</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45788</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45788</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45788</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45788</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45788</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45788</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45788</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45788</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45788</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45788</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45788</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45788</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45788</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45788</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45788</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45788</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45788</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45788</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45788</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45788</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45788</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45788</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45788</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45788</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45788</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45788</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45788</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45788</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45788</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45788</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45788</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45788</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45788</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45788</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45788</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45788</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45788</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45788</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45788</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45788</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45788</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45788</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45788</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45788</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45788</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45788</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45788</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45788</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45788</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45788</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45788</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45788</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45788</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45788</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45788</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45788</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45788</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45788</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45788</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45788</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45788</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45788</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45788</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45788</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45788</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45788</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45788</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45788</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45788</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45788</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45788</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45788</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45788</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45788</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45788</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45788</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45788</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45788</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45788</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45788</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45788</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45788</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45788</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45788</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45788</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45788</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45788</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45788</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45788</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45788</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45788</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45788</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45788</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45788</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45788</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45788</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45788</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45788</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45788</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45788</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45788</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45788</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45788</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45788</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45788</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45788</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45788</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45788</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45788</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45788</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45788</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45788</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45788</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45788</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45788</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45788</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45788</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45788</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45788</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45788</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45788</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45788</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45788</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45788</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45788</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45788</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45788</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45788</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45788</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45788</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45788</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45788</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45788</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45788</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45788</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45788</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45788</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45788</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45788</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45788</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45788</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45788</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45788</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45788</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45788</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45788</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45788</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45788</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45788</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45788</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45788</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45788</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45788</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45788</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45788</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45788</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45788</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45788</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45788</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45788</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45788</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45788</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45788</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45788</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45788</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45788</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45788</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45788</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45788</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45788</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45788</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45788</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45788</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45788</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45788</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45788</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45788</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45788</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45788</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45788</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45788</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45788</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45788</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45788</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45788</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45788</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45788</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45788</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45788</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45788</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45788</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45788</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45788</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45788</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45788</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45788</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45788</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45788</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45788</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45788</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45788</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45788</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45788</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45788</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45788</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45788</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45788</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45788</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45788</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45788</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45788</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45788</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45788</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45788</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45788</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45788</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45788</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45788</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45788</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45788</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45788</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45788</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45788</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45788</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45788</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45788</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45788</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45788</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45788</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45788</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45788</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45788</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45788</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45788</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45788</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45788</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45788</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45788</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45788</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45788</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45788</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45788</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45788</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45788</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45788</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45788</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45788</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45788</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45788</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45788</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45788</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45788</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45788</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45788</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45788</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45788</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45788</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45788</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45788</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45788</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45788</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45788</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45788</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45788</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45788</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45788</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45788</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45788</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45788</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45788</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45788</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45788</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45788</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45788</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45788</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45788</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45788</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45788</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45788</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45788</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45788</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45788</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45788</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45788</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45788</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45788</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45788</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45788</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45788</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45788</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45788</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45788</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45788</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45788</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45788</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45788</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45788</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45788</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45788</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45788</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45788</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45788</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45788</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45788</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45788</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45788</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45788</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45788</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45788</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45788</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45788</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45788</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45788</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45788</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45788</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45788</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45788</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45788</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45788</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45788</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45788</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45788</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45788</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45788</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45788</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45788</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45788</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45788</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45788</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45788</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45788</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45788</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45788</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45788</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45788</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45788</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45788</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45788</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45788</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45788</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45788</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45788</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45788</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45788</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45788</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45788</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45788</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45788</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45788</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45788</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45788</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45788</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45788</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45788</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45788</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45788</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45788</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45788</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45788</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45788</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45788</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45788</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45788</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45788</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45788</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45788</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45788</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45788</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45788</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45788</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45788</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45788</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45788</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45788</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45788</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45788</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45788</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45788</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45788</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45788</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45788</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45788</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45788</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45788</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45788</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45788</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45788</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45788</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45788</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45788</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45788</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45788</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45788</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45788</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45788</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45788</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45788</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45788</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45788</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45788</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45788</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45788</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45788</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45788</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45788</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45788</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45788</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45788</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45788</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45788</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45788</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45788</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45788</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45788</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45788</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45788</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45788</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45788</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45788</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45788</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45788</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45788</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45788</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45788</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45788</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45788</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45788</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45788</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45788</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45788</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45788</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45788</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45788</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45788</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45788</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45788</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45788</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45788</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45788</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45788</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45788</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45788</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45788</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45788</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45788</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45788</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45788</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45788</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45788</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45788</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45788</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45788</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45788</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45788</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45788</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45788</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45788</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45788</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45788</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45788</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45788</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45788</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45788</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45788</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45788</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45788</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45788</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45788</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45788</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45788</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45788</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45788</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45788</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45788</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45788</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45788</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45788</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45788</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45788</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45788</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45788</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45788</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45788</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45788</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45788</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45788</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45788</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45788</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45788</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45788</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45788</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45788</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45788</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45788</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45788</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45788</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45788</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45788</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45788</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45788</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45788</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45788</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45788</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45788</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45788</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45788</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45788</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45788</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45788</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45788</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45788</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45788</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45788</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45788</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45788</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45788</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45788</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45788</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45788</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45788</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45788</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45788</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45788</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45788</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45788</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45788</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45788</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45788</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45788</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45788</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45788</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45788</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45788</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45788</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45788</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45788</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45788</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45788</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45788</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45788</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45788</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45788</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45788</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45788</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45788</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45788</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45788</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45788</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45788</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45788</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45788</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45788</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45788</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45788</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45788</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45788</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45788</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45788</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45788</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45788</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45788</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45788</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45788</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45788</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45788</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45788</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45788</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45788</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45788</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45788</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45788</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45788</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45788</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45788</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45788</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45788</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45788</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45788</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45788</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45788</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45788</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45788</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45788</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45788</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45788</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45788</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45788</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45788</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45788</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45788</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45788</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45788</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45788</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45788</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45788</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45788</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45788</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45788</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45788</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45788</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45788</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45788</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45788</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45788</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45788</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45788</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45788</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45788</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45788</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45788</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45788</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45788</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45788</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45788</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45788</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45788</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45788</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45788</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45788</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45788</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45788</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45788</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45788</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45788</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45788</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45788</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45788</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45788</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45788</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45788</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45788</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45788</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45788</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45788</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45788</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45788</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45788</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45788</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45788</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45788</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45788</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45788</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45788</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45788</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45788</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45788</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45788</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45788</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45788</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45788</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45788</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45788</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45788</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45788</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45788</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45788</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45788</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45788</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45788</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45788</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45788</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45788</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45788</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45788</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45788</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45788</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45788</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45788</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45788</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45788</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45788</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45788</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45788</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45788</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45788</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45788</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45788</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45788</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45788</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45788</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45788</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45788</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45788</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45788</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45788</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45788</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45788</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45788</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45788</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45788</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45788</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45788</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45788</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45788</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45788</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45788</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45788</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45788</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45788</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45788</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45788</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45788</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45788</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45788</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45788</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45788</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45788</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45788</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45788</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45788</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45788</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45788</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45788</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45788</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45788</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45788</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45788</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45788</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45788</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45788</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45788</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45788</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45788</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45788</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45788</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45788</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45788</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45788</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45788</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45788</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45788</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45788</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45788</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45788</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45788</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45788</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45788</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45788</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45788</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45788</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45788</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45788</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45788</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45788</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45788</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45788</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45788</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45788</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45788</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45788</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45788</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45788</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45788</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45788</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45788</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45788</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45788</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45788</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45788</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45788</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45788</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45788</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45788</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45788</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45788</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45788</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45788</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45788</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45788</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45788</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45788</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45788</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45788</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45788</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45788</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45788</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45788</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45788</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45788</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45788</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45788</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45788</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45788</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45788</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45788</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45788</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45788</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45788</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45788</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45788</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45788</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45788</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45788</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45788</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45788</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45788</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45788</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45788</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45788</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45788</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45788</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45788</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45788</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45788</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45788</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45788</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45788</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45788</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45788</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45788</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45788</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45788</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45788</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45788</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45788</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45788</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45788</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45788</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45788</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45788</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45788</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45788</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45788</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45788</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45788</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45788</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45788</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45788</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45788</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45788</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45788</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45788</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45788</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45788</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45788</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45788</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45788</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45788</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45788</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45788</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45788</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45788</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45788</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45788</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45788</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45788</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45788</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45788</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45788</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45788</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45788</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45788</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45788</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45788</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45788</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45788</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45788</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45788</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45788</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45788</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45788</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45788</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45788</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45788</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45788</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45788</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45788</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45788</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45788</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45788</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45788</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45788</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45788</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45788</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45788</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45788</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45788</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45788</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45788</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45788</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45788</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45788</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45788</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45788</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45788</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45788</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45788</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45788</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45788</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45788</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45788</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45788</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45788</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45788</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45788</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45788</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45788</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45788</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45788</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45788</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45788</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45788</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45788</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45788</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45788</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45788</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45788</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45788</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45788</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45788</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45788</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45788</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45788</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45788</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45788</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45788</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45788</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45788</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45788</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45788</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45788</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45788</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45788</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45788</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45788</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45788</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45788</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45788</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45788</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45788</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45788</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45788</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45788</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45788</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45788</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45788</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45788</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45788</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45788</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45788</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45788</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45788</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45788</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45788</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45788</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45788</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45788</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45788</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45788</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45788</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45788</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45788</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45788</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45788</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45788</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45788</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45788</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45788</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45788</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45788</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45788</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45788</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45788</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45788</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45788</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45788</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45788</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45788</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45788</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45788</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45788</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45788</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45788</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45788</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45788</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45788</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45788</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45788</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45788</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45788</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45788</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45788</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45788</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45788</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45788</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45788</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45788</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45788</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45788</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45788</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45788</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45788</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45788</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45788</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45788</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45788</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45788</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45788</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45788</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45788</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45788</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45788</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45788</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45788</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45788</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45788</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45788</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45788</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45788</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45788</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45788</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45788</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45788</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45788</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45788</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45788</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45788</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45788</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45788</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45788</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45788</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45788</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45788</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45788</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45788</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45788</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45788</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45788</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45788</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45788</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45788</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45788</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45788</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45788</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45788</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45788</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45788</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45788</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45788</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45788</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45788</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45788</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45788</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45788</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45788</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45788</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45788</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45788</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45788</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45788</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45788</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45788</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45788</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45788</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45788</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45788</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45788</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45788</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45788</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45788</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45788</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45788</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45788</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45788</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45788</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45788</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45788</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45788</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45788</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45788</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45788</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45788</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45788</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45788</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45788</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45788</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45788</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45788</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45788</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45788</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45788</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45788</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45788</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45788</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45788</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45788</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45788</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45788</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45788</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45788</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45788</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45788</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45788</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45788</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45788</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45788</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45788</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45788</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45788</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45788</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45788</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45788</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45788</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45788</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45788</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45788</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45788</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45788</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45788</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45788</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45788</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45788</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45788</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45788</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45788</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45788</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45788</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45788</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45788</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45788</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45788</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45788</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45788</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45788</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45788</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45788</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45788</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45788</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45788</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45788</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45788</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45788</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45788</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45788</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45788</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45788</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45788</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45788</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45788</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45788</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45788</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45788</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45788</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45788</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45788</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45788</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45788</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45788</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45788</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45788</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45788</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45788</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45788</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45788</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45788</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45788</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45788</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45788</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45788</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45788</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45788</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45788</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45788</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45788</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45788</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45788</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45788</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45788</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45788</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45788</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45788</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45788</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45788</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45788</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45788</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45788</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45788</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45788</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45788</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45788</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45788</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45788</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45788</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45788</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45788</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45788</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45788</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45788</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45788</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45788</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45788</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45788</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45788</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45788</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45788</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45788</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45788</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45788</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45788</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45788</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45788</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45788</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45788</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45788</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45788</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45788</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45788</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45788</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45788</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45788</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45788</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45788</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45788</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45788</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45788</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45788</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45788</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45788</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45788</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45788</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45788</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45788</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45788</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45788</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45788</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45788</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45788</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45788</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45788</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45788</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45788</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45788</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45788</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45788</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45788</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45788</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45788</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45788</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45788</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45788</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45788</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45788</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45788</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45788</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45788</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45788</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45788</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45788</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45788</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45788</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45788</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45788</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45788</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45788</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45788</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45788</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45788</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45788</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45788</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45788</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45788</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45788</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45788</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45788</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45788</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45788</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45788</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45788</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45788</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45788</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45788</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45788</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45788</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45788</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45788</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45788</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45788</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45788</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45788</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45788</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45788</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45788</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45788</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45788</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45788</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45788</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45788</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45788</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45788</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45788</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45788</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45788</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45788</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45788</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45788</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45788</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45788</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45788</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45788</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45788</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45788</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45788</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45788</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45788</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45788</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45788</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45788</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45788</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45788</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45788</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45788</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45788</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45788</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45788</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45788</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45788</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45788</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45788</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45788</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45788</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45788</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45788</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45788</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45788</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45788</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45788</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45788</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45788</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45788</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45788</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45788</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45788</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45788</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45788</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45788</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45788</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45788</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45788</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45788</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45788</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45788</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45788</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45788</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45788</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45788</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45788</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45788</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45788</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45788</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45788</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45788</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45788</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45788</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45788</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45788</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45788</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45788</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45788</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45788</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45788</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45788</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45788</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45788</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45788</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45788</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45788</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45788</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45788</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45788</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45788</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45788</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45788</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45788</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45788</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45788</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45788</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45788</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45788</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45788</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45788</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45788</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45788</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45788</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45788</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45788</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45788</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45788</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45788</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45788</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45788</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45788</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45788</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45788</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45788</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45788</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45788</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45788</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45788</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45788</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45788</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45788</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45788</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45788</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45788</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45788</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45788</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45788</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45788</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45788</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45788</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45788</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45788</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45788</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45788</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45788</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45788</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45788</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45788</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45788</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45788</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45788</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45788</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45788</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45788</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45788</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45788</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45788</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45788</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45788</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45788</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45788</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45788</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45788</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45788</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45788</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45788</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45788</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45788</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45788</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45788</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45788</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45788</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45788</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45788</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45788</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45788</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45788</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45788</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45788</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45788</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45788</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45788</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45788</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45788</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45788</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45788</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45788</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45788</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45788</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45788</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45788</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45788</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45788</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45788</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45788</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45788</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45788</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45788</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45788</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45788</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45788</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45788</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45788</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45788</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45788</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45788</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45788</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45788</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45788</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45788</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45788</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45788</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45788</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45788</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45788</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45788</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45788</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45788</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45788</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45788</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45788</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45788</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45788</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45788</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45788</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45788</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45788</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45788</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45788</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45788</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45788</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45788</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45788</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45788</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45788</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45788</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45788</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45788</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45788</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45788</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45788</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45788</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45788</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45788</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45788</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45788</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45788</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45788</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45788</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45788</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45788</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45788</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45788</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45788</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45788</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45788</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45788</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45788</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45788</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45788</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45788</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45788</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45788</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45788</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45788</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45788</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45788</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45788</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45788</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45788</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45788</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45788</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45788</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45788</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45788</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45788</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45788</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45788</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45788</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45788</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45788</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45788</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45788</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45788</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45788</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45788</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45788</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45788</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45788</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45788</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45788</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45788</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45788</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45788</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45788</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45788</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45788</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45788</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45788</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45788</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45788</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45788</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45788</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45788</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45788</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45788</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45788</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45788</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45788</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45788</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45788</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45788</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45788</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45788</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45788</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45788</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45788</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45788</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45788</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45788</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45788</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45788</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45788</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45788</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45788</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45788</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45788</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45788</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45788</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45788</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45788</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45788</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45788</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45788</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45788</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45788</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45788</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45788</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45788</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45788</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45788</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45788</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45788</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45788</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45788</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45788</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45788</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45788</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45788</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45788</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45788</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45788</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45788</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45788</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45788</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45788</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45788</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45788</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45788</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45788</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45788</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45788</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45788</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45788</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45788</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45788</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45788</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45788</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45788</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45788</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45788</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45788</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45788</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45788</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45788</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45788</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45788</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45788</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45788</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45788</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45788</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45788</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45788</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45788</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45788</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45788</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45788</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45788</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45788</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45788</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45788</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45788</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45788</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45788</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45788</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45788</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45788</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45788</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45788</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45788</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45788</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45788</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45788</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45788</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45788</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45788</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45788</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45788</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45788</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45788</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45788</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45788</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45788</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45788</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45788</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45788</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45788</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45788</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45788</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45788</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45788</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45788</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45788</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45788</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45788</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45788</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45788</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45788</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45788</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45788</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45788</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45788</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45788</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45788</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45788</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45788</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45788</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45788</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45788</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45788</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45788</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45788</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45788</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45788</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45788</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45788</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45788</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45788</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45788</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45788</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45788</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45788</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45788</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45788</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45788</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45788</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45788</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45788</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45788</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45788</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45788</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45788</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45788</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45788</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45788</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45788</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45788</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45788</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45788</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45788</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45788</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45788</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45788</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45788</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45788</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45788</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45788</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45788</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45788</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45788</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45788</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45788</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45788</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45788</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45788</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45788</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45788</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45788</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45788</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45788</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45788</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45788</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45788</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45788</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45788</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45788</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45788</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45788</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45788</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45788</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45788</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45788</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45788</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45788</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45788</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45788</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45788</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45788</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45788</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45788</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45788</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45788</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45788</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45788</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45788</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45788</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45788</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45788</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45788</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45788</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45788</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45788</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45788</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45788</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45788</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45788</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45788</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45788</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45788</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45788</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45788</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45788</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45788</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45788</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45788</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45788</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45788</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45788</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45788</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45788</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45788</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45788</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45788</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45788</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45788</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45788</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45788</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45788</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45788</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45788</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45788</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45788</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45788</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45788</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45788</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45788</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45788</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45788</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45788</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45788</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45788</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45788</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45788</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45788</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45788</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45788</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45788</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45788</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45788</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45788</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45788</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45788</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45788</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45788</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45788</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45788</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45788</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45788</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45788</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45788</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45788</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45788</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45788</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45788</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45788</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45788</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45788</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45788</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45788</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45788</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45788</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45788</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45788</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45788</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45788</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45788</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45788</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45788</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45788</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45788</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45788</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45788</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45788</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45788</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45788</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45788</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45788</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45788</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45788</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45788</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45788</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45788</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45788</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45788</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45788</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45788</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45788</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45788</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45788</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45788</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45788</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45788</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45788</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45788</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45788</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45788</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45788</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45788</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45788</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45788</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45788</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45788</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45788</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45788</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45788</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45788</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45788</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45788</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45788</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45788</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45788</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45788</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45788</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45788</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45788</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45788</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45788</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45788</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45788</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45788</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45788</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45788</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45788</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45788</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45788</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45788</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45788</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45788</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45788</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45788</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45788</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45788</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45788</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45788</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45788</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45788</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45788</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45788</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45788</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45788</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45788</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45788</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45788</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45788</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45788</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45788</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45788</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45788</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45788</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45788</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45788</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45788</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45788</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45788</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45788</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45788</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45788</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45788</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45788</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45788</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45788</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45788</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45788</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45788</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45788</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45788</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45788</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45788</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45788</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45788</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45788</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45788</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45788</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45788</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45788</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45788</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45788</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45788</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45788</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45788</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45788</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45788</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45788</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45788</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45788</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45788</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45788</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45788</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45788</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45788</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45788</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45788</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45788</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45788</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45788</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45788</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45788</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45788</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45788</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45788</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45788</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45788</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45788</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45788</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45788</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45788</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45788</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45788</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45788</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45788</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45788</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45788</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45788</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45788</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45788</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45788</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45788</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45788</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45788</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45788</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45788</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45788</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45788</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45788</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45788</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45788</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45788</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45788</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45788</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45788</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45788</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45788</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45788</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45788</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45788</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45788</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45788</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45788</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45788</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45788</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45788</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45788</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45788</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45788</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45788</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45788</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45788</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45788</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45788</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45788</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45788</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45788</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45788</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45788</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45788</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45788</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45788</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45788</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45788</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45788</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45788</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45788</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45788</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45788</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45788</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45788</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45788</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45788</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45788</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45788</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45788</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45788</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45788</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45788</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45788</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45788</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45788</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45788</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45788</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45788</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45788</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45788</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45788</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45788</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45788</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45788</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45788</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45788</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45788</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45788</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45788</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45788</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45788</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45788</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45788</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45788</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45788</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45788</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45788</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45788</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45788</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45788</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45788</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45788</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45788</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45788</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45788</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45788</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45788</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45788</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45788</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45788</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45788</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45788</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45788</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45788</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45788</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45788</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45788</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45788</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45788</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45788</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45788</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45788</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45788</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45788</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45788</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45788</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45788</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45788</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45788</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45788</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45788</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45788</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45788</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45788</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45788</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45788</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45788</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45788</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45788</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45788</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45788</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45788</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45788</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45788</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45788</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45788</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45788</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45788</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45788</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45788</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45788</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45788</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45788</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45788</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45788</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45788</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45788</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45788</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45788</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45788</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45788</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45788</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45788</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45788</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45788</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45788</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45788</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45788</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45788</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45788</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45788</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45788</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45788</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45788</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45788</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45788</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45788</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45788</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45788</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45788</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45788</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45788</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45788</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45788</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45788</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45788</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45788</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45788</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45788</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45788</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45788</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45788</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45788</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45788</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45788</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45788</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45788</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45788</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45788</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45788</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45788</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45788</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45788</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45788</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45788</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45788</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45788</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45788</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45788</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45788</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45788</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45788</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45788</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45788</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45788</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45788</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45788</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45788</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45788</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45788</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45788</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45788</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45788</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45788</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45788</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45788</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45788</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45788</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45788</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45788</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45788</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45788</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45788</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45788</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45788</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45788</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45788</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45788</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45788</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45788</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45788</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45788</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45788</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45788</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45788</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45788</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45788</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45788</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45788</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45788</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45788</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45788</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45788</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45788</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45788</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45788</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45788</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45788</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45788</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45788</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45788</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45788</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45788</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45788</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45788</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45788</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45788</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45788</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45788</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45788</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45788</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45788</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45788</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45788</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45788</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45788</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45788</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45788</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45788</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45788</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45788</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45788</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45788</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45788</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45788</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45788</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45788</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45788</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45788</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45788</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45788</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45788</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45788</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45788</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45788</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45788</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45788</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45788</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45788</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45788</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45788</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45788</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45788</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45788</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45788</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45788</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45788</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45788</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45788</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45788</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45788</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45788</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45788</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45788</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45788</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45788</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45788</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45788</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45788</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45788</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45788</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45788</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45788</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45788</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45788</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45788</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45788</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45788</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45788</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45788</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45788</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45788</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45788</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45788</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45788</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45788</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45788</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45788</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45788</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45788</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45788</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45788</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45788</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45788</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45788</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45788</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45788</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45788</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45788</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45788</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45788</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45788</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45788</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45788</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45788</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45788</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45788</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45788</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45788</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45788</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45788</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45788</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45788</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45788</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45788</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45788</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45788</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45788</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45788</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45788</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45788</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45788</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45788</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45788</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45788</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45788</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45788</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45788</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45788</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45788</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45788</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45788</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45788</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45788</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45788</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45788</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45788</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45788</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45788</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45788</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45788</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45788</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45788</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45788</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45788</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45788</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45788</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45788</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45788</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45788</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45788</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45788</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45788</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45788</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45788</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45788</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45788</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45788</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45788</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45788</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45788</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45788</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45788</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45788</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45788</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45788</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45788</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45788</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45788</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45788</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45788</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45788</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45788</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45788</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45788</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45788</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45788</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45788</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45788</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45788</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45788</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45788</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45788</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45788</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45788</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45788</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45788</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45788</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45788</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45788</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45788</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45788</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45788</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45788</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45788</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45788</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45788</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45788</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45788</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45788</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45788</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45788</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45788</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45788</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45788</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45788</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45788</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45788</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45788</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45788</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45788</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45788</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45788</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45788</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45788</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45788</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45788</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45788</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45788</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45788</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45788</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45788</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45788</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45788</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45788</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45788</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45788</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45788</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45788</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45788</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45788</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45788</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45788</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45788</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45788</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45788</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45788</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45788</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45788</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45788</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45788</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45788</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45788</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45788</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45788</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45788</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45788</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45788</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45788</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45788</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45788</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45788</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45788</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45788</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45788</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45788</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45788</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45788</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45788</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45788</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45788</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45788</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45788</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45788</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45788</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45788</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45788</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45788</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45788</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45788</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45788</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45788</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45788</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45788</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45788</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45788</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45788</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45788</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45788</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45788</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45788</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45788</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45788</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45788</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45788</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45788</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45788</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45788</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45788</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45788</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45788</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45788</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45788</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45788</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45788</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45788</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45788</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45788</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45788</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45788</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45788</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45788</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45788</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45788</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45788</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45788</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45788</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45788</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45788</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45788</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45788</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45788</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45788</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45788</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45788</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45788</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45788</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45788</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45788</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45788</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45788</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45788</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45788</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45788</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45788</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45788</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45788</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45788</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45788</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45788</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45788</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45788</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45788</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45788</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45788</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45788</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45788</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45788</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45788</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45788</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45788</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45788</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45788</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45788</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45788</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45788</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45788</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45788</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45788</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45788</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45788</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45788</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45788</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45788</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45788</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45788</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45788</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45788</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45788</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45788</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45788</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45788</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45788</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45788</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45788</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45788</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45788</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45788</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45788</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45788</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45788</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45788</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45788</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45788</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45788</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45788</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45788</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45788</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45788</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45788</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45788</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45788</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45788</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45788</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45788</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45788</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45788</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45788</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45788</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45788</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45788</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45788</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45788</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45788</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45788</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45788</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45788</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45788</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45788</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45788</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45788</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45788</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45788</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45788</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45788</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45788</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45788</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45788</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45788</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45788</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45788</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45788</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45788</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45788</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45788</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45788</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45788</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45788</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45788</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45788</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45788</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45788</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45788</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45788</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45788</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45788</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45788</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45788</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45788</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45788</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45788</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45788</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45788</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45788</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45788</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45788</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45788</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45788</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45788</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45788</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45788</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45788</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45788</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45788</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45788</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45788</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45788</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45788</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45788</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45788</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45788</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45788</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45788</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45788</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45788</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45788</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45788</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45788</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45788</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45788</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45788</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45788</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45788</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45788</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45788</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45788</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45788</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45788</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45788</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45788</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45788</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45788</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45788</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45788</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45788</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45788</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45788</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45788</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45788</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45788</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45788</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45788</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45788</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45788</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45788</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45788</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45788</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45788</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45788</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45788</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45788</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45788</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45788</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45788</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45788</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45788</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45788</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45788</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45788</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45788</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45788</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45788</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45788</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45788</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45788</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45788</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45788</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45788</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45788</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45788</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45788</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45788</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45788</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45788</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45788</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45788</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45788</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45788</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45788</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45788</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45788</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45788</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45788</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45788</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45788</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45788</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45788</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45788</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45788</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45788</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45788</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45788</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45788</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45788</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45788</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45788</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45788</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45788</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45788</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45788</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45788</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45788</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45788</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45788</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45788</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45788</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45788</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45788</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45788</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45788</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45788</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45788</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45788</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45788</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45788</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45788</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45788</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45788</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45788</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45788</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45788</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45788</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45788</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45788</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45788</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45788</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45788</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45788</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45788</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45788</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45788</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45788</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45788</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45788</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45788</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45788</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45788</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45788</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45788</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45788</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45788</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45788</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45788</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45788</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45788</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45788</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45788</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45788</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45788</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45788</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45788</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45788</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45788</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45788</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45788</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45788</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45788</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45788</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45788</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45788</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45788</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45788</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45788</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45788</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45788</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45788</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45788</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45788</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45788</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45788</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45788</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45788</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45788</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45788</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45788</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45788</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45788</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45788</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45788</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45788</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45788</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45788</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45788</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45788</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45788</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45788</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45788</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45788</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45788</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45788</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45788</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45788</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45788</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45788</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45788</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45788</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45788</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45788</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45788</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45788</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45788</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45788</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45788</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45788</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45788</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45788</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45788</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45788</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45788</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45788</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45788</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45788</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45788</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45788</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45788</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45788</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45788</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45788</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45788</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45788</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45788</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45788</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45788</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45788</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45788</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45788</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45788</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45788</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45788</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45788</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45788</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45788</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45788</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45788</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45788</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45788</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45788</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45788</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45788</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45788</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45788</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45788</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45788</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45788</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45788</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45788</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45788</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45788</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45788</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45788</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45788</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45788</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45788</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45788</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45788</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45788</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45788</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45788</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45788</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45788</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45788</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45788</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45788</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45788</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45788</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45788</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45788</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45788</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45788</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45788</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45788</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45788</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45788</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45788</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45788</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45788</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45788</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45788</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45788</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45788</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45788</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45788</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45788</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45788</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45788</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45788</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45788</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45788</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45788</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45788</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45788</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45788</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45788</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45788</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45788</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45788</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45788</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45788</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45788</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45788</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45788</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45788</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45788</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45788</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45788</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45788</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45788</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45788</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45788</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45788</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45788</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45788</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45788</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45788</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45788</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45788</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45788</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45788</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45788</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45788</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45788</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45788</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45788</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45788</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45788</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45788</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45788</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45788</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45788</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45788</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45788</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45788</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45788</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45788</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45788</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45788</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45788</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45788</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45788</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45788</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45788</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45788</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45788</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45788</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45788</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45788</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45788</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45788</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45788</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45788</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45788</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45788</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45788</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45788</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45788</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45788</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45788</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45788</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45788</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45788</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45788</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45788</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45788</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45788</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45788</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45788</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45788</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45788</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45788</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45788</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45788</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45788</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45788</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45788</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45788</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45788</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45788</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45788</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45788</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45788</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45788</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45788</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45788</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45788</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45788</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45788</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45788</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45788</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45788</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45788</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45788</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45788</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45788</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45788</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45788</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45788</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45788</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45788</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45788</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45788</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45788</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45788</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45788</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45788</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45788</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45788</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45788</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45788</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45788</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45788</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45788</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45788</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45788</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45788</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45788</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45788</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45788</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45788</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45788</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45788</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45788</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45788</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45788</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45788</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45788</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45788</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45788</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45788</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45788</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45788</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45788</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45788</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45788</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45788</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45788</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45788</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45788</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45788</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45788</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45788</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45788</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45788</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45788</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45788</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45788</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45788</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45788</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45788</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45788</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45788</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45788</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45788</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45788</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45788</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45788</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45788</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45788</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45788</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45788</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45788</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45788</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45788</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45788</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45788</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45788</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45788</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45788</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45788</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45788</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45788</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45788</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45788</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45788</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45788</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45788</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45788</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45788</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45788</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45788</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45788</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45788</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45788</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45788</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45788</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45788</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45788</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45788</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45788</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45788</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45788</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45788</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45788</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45788</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45788</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45788</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45788</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45788</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45788</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45788</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45788</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45788</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45788</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45788</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45788</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45788</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45788</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45788</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45788</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45788</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45788</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45788</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45788</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45788</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45788</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45788</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45788</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45788</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45788</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45788</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45788</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45788</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45788</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45788</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45788</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45788</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45788</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45788</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45788</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45788</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45788</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45788</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45788</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45788</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45788</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45788</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45788</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45788</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45788</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45788</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45788</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45788</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45788</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45788</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45788</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45788</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45788</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45788</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45788</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45788</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45788</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45788</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45788</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45788</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45788</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45788</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45788</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45788</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45788</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45788</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45788</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45788</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45788</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45788</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45788</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45788</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45788</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45788</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45788</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45788</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45788</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45788</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45788</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45788</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45788</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45788</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45788</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45788</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45788</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45788</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45788</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45788</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45788</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45788</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45788</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45788</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45788</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45788</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45788</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45788</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45788</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45788</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45788</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45788</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45788</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45788</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45788</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45788</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45788</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45788</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45788</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45788</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45788</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45788</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45788</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45788</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45788</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45788</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45788</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45788</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45788</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45788</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45788</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45788</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45788</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45788</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45788</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45788</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45788</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45788</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45788</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45788</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45788</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45788</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45788</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45788</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45788</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45788</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45788</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45788</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45788</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45788</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45788</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45788</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45788</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45788</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45788</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45788</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45788</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45788</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45788</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45788</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45788</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45788</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45788</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45788</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45788</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45788</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45788</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45788</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45788</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45788</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45788</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45788</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45788</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45788</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45788</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45788</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45788</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45788</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45788</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45788</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45788</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45788</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45788</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45788</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45788</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45788</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45788</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45788</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45788</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45788</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45788</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45788</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45788</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45788</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45788</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45788</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45788</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45788</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45788</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45788</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45788</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45788</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45788</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45788</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45788</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45788</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45788</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45788</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45788</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45788</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45788</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45788</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45788</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45788</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45788</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45788</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45788</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45788</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45788</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45788</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45788</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45788</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45788</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45788</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45788</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45788</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45788</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45788</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45788</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45788</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45788</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45788</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45788</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45788</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45788</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45788</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45788</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45788</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45788</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45788</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45788</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45788</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45788</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45788</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45788</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45788</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45788</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45788</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45788</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45788</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45788</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45788</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45788</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45788</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45788</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45788</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45788</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45788</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45788</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45788</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45788</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45788</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45788</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45788</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45788</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45788</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45788</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45788</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45788</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45788</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45788</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45788</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45788</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45788</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45788</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45788</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45788</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45788</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45788</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45788</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45788</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45788</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45788</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45788</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45788</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45788</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45788</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45788</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45788</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45788</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45788</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45788</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45788</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45788</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45788</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45788</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45788</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45788</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45788</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45788</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45788</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45788</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45788</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45788</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45788</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45788</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45788</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45788</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45788</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45788</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45788</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45788</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45788</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45788</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45788</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45788</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45788</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45788</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45788</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45788</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45788</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45788</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45788</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45788</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45788</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45788</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45788</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45788</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45788</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45788</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45788</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45788</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45788</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45788</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45788</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45788</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45788</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45788</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45788</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45788</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45788</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45788</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45788</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45788</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45788</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45788</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45788</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45788</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45788</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45788</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45788</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45788</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45788</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45788</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45788</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45788</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45788</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45788</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45788</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45788</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45788</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45788</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45788</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45788</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45788</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45788</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45788</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45788</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45788</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45788</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45788</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45788</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45788</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45788</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45788</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45788</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45788</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45788</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45788</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45788</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45788</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45788</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45788</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45788</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45788</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45788</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45788</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45788</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45788</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45788</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45788</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45788</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45788</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45788</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45788</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45788</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45788</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45788</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45788</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45788</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45788</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45788</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45788</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45788</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45788</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45788</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45788</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45788</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45788</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45788</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45788</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45788</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45788</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45788</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45788</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45788</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45788</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45788</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45788</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45788</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45788</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45788</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45788</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45788</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45788</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45788</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45788</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45788</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45788</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45788</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45788</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45788</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45788</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45788</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45788</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45788</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45788</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45788</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45788</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45788</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45788</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45788</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45788</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45788</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45788</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45788</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45788</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45788</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45788</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45788</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45788</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45788</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45788</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45788</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45788</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45788</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45788</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45788</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45788</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45788</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45788</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45788</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45788</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45788</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45788</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45788</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45788</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45788</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45788</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45788</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45788</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45788</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45788</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45788</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45788</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45788</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45788</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45788</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45788</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45788</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45788</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45788</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45788</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45788</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45788</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45788</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45788</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45788</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45788</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45788</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45788</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45788</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45788</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45788</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45788</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45788</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45788</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45788</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45788</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45788</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45788</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45788</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45788</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45788</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45788</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45788</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45788</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45788</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45788</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45788</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45788</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45788</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45788</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45788</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45788</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45788</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45788</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45788</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45788</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45788</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45788</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45788</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45788</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45788</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45788</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45788</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45788</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45788</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45788</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45788</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45788</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45788</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45788</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45788</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45788</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45788</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45788</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45788</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45788</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45788</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45788</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45788</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45788</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45788</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45788</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45788</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45788</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45788</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45788</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45788</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45788</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45788</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45788</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45788</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45788</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45788</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45788</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45788</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45788</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45788</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45788</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45788</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45788</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45788</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45788</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45788</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45788</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45788</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45788</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45788</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45788</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45788</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45788</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45788</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45788</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45788</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45788</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45788</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45788</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45788</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45788</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45788</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45788</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45788</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45788</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45788</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45788</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45788</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45788</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45788</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45788</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45788</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45788</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45788</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45788</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45788</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45788</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45788</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45788</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45788</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45788</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45788</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45788</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45788</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45788</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45788</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45788</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45788</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45788</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45788</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45788</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45788</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45788</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45788</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45788</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45788</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45788</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45788</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45788</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45788</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45788</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45788</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45788</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45788</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45788</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45788</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45788</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45788</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45788</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45788</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45788</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45788</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45788</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45788</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45788</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45788</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45788</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45788</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45788</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45788</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45788</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45788</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45788</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45788</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45788</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45788</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45788</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45788</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45788</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45788</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45788</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45788</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45788</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45788</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45788</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45788</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45788</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45788</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45788</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45788</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45788</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45788</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45788</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45788</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45788</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45788</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45788</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45788</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45788</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45788</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45788</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45788</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45788</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45788</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45788</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45788</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45788</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45788</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45788</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45788</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45788</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45788</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45788</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45788</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45788</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45788</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45788</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45788</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45788</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45788</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45788</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45788</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45788</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45788</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45788</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45788</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45788</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45788</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45788</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45788</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45788</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45788</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45788</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45788</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45788</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45788</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45788</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45788</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45788</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45788</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45788</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45788</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45788</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45788</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45788</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45788</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45788</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45788</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45788</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45788</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45788</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45788</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45788</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45788</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45788</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45788</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45788</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45788</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45788</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45788</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45788</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45788</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45788</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45788</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45788</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45788</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45788</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45788</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45788</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45788</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45788</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45788</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45788</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45788</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45788</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45788</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45788</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45788</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45788</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45788</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45788</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45788</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45788</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45788</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45788</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45788</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45788</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45788</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45788</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45788</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45788</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45788</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45788</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45788</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45788</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45788</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45788</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45788</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45788</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45788</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45788</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45788</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45788</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45788</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45788</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45788</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45788</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45788</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45788</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45788</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45788</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45788</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45788</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45788</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45788</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45788</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45788</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45788</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45788</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45788</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45788</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45788</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45788</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45788</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45788</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45788</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45788</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45788</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45788</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45788</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45788</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45788</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45788</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45788</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45788</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45788</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45788</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45788</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45788</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45788</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45788</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45788</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45788</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45788</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45788</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45788</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45788</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45788</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45788</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45788</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45788</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45788</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45788</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45788</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45788</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45788</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45788</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45788</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45788</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45788</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45788</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45788</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45788</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45788</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45788</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45788</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45788</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45788</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45788</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45788</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45788</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45788</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45788</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45788</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45788</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45788</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45788</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45788</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45788</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45788</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45788</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45788</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45788</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45788</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45788</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45788</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45788</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45788</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45788</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45788</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45788</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45788</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45788</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45788</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45788</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45788</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45788</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45788</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45788</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45788</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45788</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45788</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45788</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45788</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45788</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45788</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45788</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45788</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45788</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45788</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45788</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45788</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45788</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45788</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45788</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45788</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45788</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45788</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45788</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45788</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45788</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45788</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45788</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45788</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45788</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45788</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45788</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45788</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45788</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45788</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45788</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45788</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45788</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45788</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45788</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45788</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45788</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45788</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45788</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45788</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45788</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45788</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45788</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45788</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45788</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45788</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45788</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45788</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45788</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45788</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45788</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45788</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45788</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45788</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45788</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45788</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45788</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45788</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45788</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45788</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45788</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45788</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45788</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45788</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45788</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45788</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45788</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45788</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45788</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45788</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45788</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45788</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45788</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45788</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45788</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45788</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45788</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45788</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45788</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45788</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45788</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45788</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45788</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45788</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45788</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45788</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45788</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45788</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45788</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45788</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45788</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45788</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45788</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45788</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45788</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45788</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45788</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45788</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45788</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45788</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45788</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45788</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45788</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45788</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45788</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45788</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45788</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45788</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45788</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45788</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45788</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45788</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45788</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45788</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45788</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45788</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45788</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45788</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45788</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45788</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45788</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45788</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45788</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45788</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45788</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45788</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45788</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45788</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45788</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45788</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45788</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45788</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45788</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45788</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45788</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45788</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45788</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45788</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45788</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45788</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45788</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45788</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45788</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45788</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45788</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45788</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45788</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45788</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45788</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45788</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45788</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45788</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45788</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45788</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45788</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45788</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45788</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45788</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45788</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45788</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45788</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45788</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45788</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45788</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45788</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45788</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45788</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45788</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45788</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45788</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45788</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45788</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45788</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45788</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45788</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45788</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45788</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45788</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45788</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45788</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45788</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45788</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45788</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45788</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45788</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45788</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45788</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45788</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45788</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45788</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45788</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45788</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45788</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45788</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45788</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45788</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45788</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45788</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45788</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45788</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45788</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45788</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45788</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45788</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45788</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45788</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45788</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45788</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45788</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45788</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45788</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45788</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45788</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45788</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45788</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45788</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45788</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45788</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45788</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45788</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45788</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45788</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45788</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45788</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45788</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45788</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45788</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45788</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45788</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45788</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45788</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45788</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45788</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45788</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45788</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45788</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45788</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45788</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45788</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45788</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45788</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45788</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45788</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45788</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45788</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45788</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45788</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45788</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45788</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45788</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45788</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45788</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45788</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45788</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45788</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45788</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45788</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45788</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45788</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45788</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45788</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45788</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45788</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45788</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45788</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45788</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45788</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45788</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45788</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45788</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45788</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45788</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45788</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45788</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45788</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45788</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45788</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45788</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45788</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45788</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45788</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45788</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45788</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45788</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45788</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45788</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45788</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45788</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45788</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45788</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45788</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45788</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45788</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45788</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45788</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45788</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45788</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45788</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45788</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45788</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45788</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45788</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45788</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45788</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45788</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45788</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45788</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45788</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45788</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45788</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45788</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45788</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45788</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45788</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45788</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45788</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45788</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45788</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45788</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45788</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45788</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45788</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45788</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45788</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45788</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45788</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45788</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45788</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45788</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45788</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45788</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45788</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45788</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45788</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45788</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45788</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45788</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45788</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45788</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45788</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45788</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45788</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45788</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45788</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45788</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45788</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45788</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45788</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45788</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45788</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45788</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45788</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45788</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45788</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45788</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45788</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45788</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45788</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45788</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45788</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45788</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45788</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45788</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45788</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45788</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45788</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45788</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45788</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45788</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45788</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45788</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45788</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45788</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45788</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45788</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45788</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45788</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45788</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45788</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45788</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45788</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45788</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45788</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45788</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45788</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45788</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45788</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45788</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45788</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45788</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45788</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45788</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45788</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45788</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45788</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45788</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45788</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45788</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45788</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45788</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45788</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45788</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45788</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45788</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45788</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45788</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45788</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45788</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45788</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45788</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45788</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45788</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45788</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45788</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45788</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45788</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45788</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45788</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45788</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45788</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45788</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45788</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45788</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45788</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45788</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45788</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45788</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45788</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45788</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45788</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45788</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45788</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45788</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45788</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45788</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45788</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45788</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45788</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45788</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45788</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45788</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45788</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45788</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45788</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45788</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45788</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45788</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45788</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45788</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45788</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45788</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45788</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45788</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45788</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45788</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45788</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45788</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45788</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45788</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45788</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45788</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45788</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45788</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45788</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45788</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45788</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45788</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45788</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45788</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45788</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45788</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45788</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45788</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45788</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45788</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45788</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45788</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45788</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45788</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45788</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45788</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45788</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45788</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45788</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45788</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45788</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45788</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45788</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45788</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45788</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45788</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45788</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45788</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45788</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45788</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45788</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45788</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45788</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45788</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45788</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45788</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45788</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45788</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45788</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45788</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45788</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45788</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45788</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45788</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45788</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45788</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45788</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45788</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45788</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45788</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45788</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45788</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45788</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45788</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45788</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45788</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45788</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45788</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45788</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45788</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45788</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45788</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45788</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45788</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45788</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45788</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45788</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45788</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45788</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45788</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45788</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45788</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45788</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45788</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45788</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45788</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45788</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45788</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45788</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45788</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45788</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45788</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45788</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45788</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45788</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45788</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45788</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45788</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45788</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45788</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45788</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45788</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45788</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45788</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45788</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45788</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45788</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45788</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45788</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45788</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45788</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45788</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45788</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45788</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45788</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45788</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45788</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45788</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45788</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45788</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45788</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45788</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45788</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45788</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45788</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45788</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45788</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45788</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45788</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45788</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45788</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45788</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45788</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45788</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45788</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45788</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45788</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45788</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45788</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45788</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45788</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45788</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45788</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45788</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45788</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45788</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45788</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45788</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45788</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45788</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45788</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45788</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45788</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45788</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45788</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45788</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45788</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45788</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45788</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45788</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45788</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45788</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45788</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45788</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45788</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45788</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45788</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45788</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45788</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45788</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45788</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45788</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45788</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45788</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45788</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45788</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45788</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45788</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45788</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45788</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45788</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45788</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45788</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45788</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45788</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45788</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45788</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45788</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45788</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45788</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45788</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45788</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45788</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45788</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45788</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45788</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45788</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45788</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45788</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45788</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45788</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45788</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45788</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45788</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45788</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45788</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45788</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45788</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45788</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45788</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45788</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45788</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45788</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45788</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45788</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45788</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45788</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45788</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45788</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45788</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45788</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45788</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45788</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45788</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45788</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45788</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45788</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45788</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45788</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45788</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45788</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45788</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45788</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45788</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45788</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45788</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45788</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45788</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45788</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45788</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45788</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45788</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45788</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45788</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45788</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45788</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45788</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45788</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45788</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45788</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45788</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45788</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45788</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45788</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45788</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45788</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45788</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45788</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45788</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45788</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45788</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45788</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45788</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45788</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45788</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45788</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45788</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45788</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45788</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45788</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45788</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45788</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45788</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45788</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45788</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45788</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45788</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45788</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45788</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45788</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45788</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45788</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45788</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45788</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45788</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45788</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45788</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45788</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45788</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45788</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45788</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45788</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45788</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45788</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45788</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45788</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45788</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45788</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45788</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45788</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45788</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45788</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45788</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45788</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45788</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45788</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45788</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45788</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45788</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45788</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45788</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45788</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45788</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45788</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45788</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45788</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45788</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45788</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45788</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45788</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45788</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45788</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45788</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45788</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45788</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45788</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45788</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45788</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45788</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45788</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45788</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45788</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45788</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45788</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45788</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45788</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45788</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45788</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45788</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45788</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45788</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45788</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45788</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45788</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45788</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45788</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45788</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45788</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45788</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45788</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45788</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45788</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45788</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45788</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45788</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45788</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45788</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45788</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45788</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45788</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45788</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45788</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45788</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45788</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45788</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45788</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45788</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45788</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45788</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45788</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45788</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45788</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45788</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45788</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45788</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45788</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45788</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45788</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45788</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45788</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45788</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45788</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45788</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45788</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45788</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45788</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45788</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45788</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45788</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45788</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45788</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45788</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45788</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45788</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45788</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45788</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45788</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45788</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45788</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45788</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45788</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45788</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45788</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45788</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45788</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45788</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45788</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45788</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45788</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45788</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45788</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45788</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45788</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45788</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45788</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45788</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45788</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45788</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45788</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45788</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45788</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45788</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45788</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45788</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45788</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45788</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45788</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45788</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45788</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45788</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45788</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45788</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45788</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45788</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45788</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45788</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45788</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45788</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45788</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45788</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45788</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45788</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45788</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45788</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45788</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45788</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45788</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45788</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45788</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45788</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45788</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45788</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45788</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45788</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45788</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45788</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45788</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45788</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45788</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45788</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45788</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45788</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45788</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45788</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45788</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45788</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45788</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45788</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45788</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45788</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45788</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45788</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45788</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45788</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45788</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45788</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45788</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45788</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45788</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45788</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45788</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45788</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45788</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45788</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45788</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45788</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45788</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45788</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45788</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45788</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45788</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45788</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45788</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45788</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45788</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45788</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45788</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45788</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45788</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45788</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45788</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45788</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45788</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45788</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45788</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45788</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45788</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45788</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45788</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45788</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45788</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45788</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45788</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45788</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45788</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45788</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45788</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45788</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45788</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45788</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45788</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45788</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45788</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45788</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45788</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45788</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45788</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45788</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45788</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45788</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45788</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45788</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45788</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45788</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45788</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45788</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45788</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45788</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45788</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45788</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45788</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45788</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45788</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45788</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45788</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45788</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45788</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45788</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45788</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45788</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45788</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45788</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45788</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45788</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45788</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45788</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45788</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45788</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45788</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45788</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45788</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45788</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45788</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45788</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45788</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45788</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45788</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45788</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45788</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45788</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45788</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45788</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45788</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45788</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45788</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45788</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45788</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45788</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45788</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45788</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45788</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45788</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45788</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45788</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45788</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45788</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45788</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45788</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45788</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45788</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45788</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45788</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45788</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45788</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45788</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45788</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45788</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45788</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45788</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45788</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45788</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45788</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45788</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45788</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45788</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45788</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45788</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45788</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45788</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45788</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45788</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45788</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45788</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45788</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45788</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45788</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45788</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45788</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45788</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45788</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45788</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45788</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45788</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45788</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45788</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45788</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45788</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45788</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45788</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45788</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45788</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45788</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45788</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45788</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45788</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45788</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45788</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45788</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45788</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45788</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45788</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45788</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45788</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45788</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45788</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45788</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45788</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45788</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45788</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45788</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45788</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45788</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45788</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45788</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45788</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45788</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45788</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45788</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45788</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45788</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45788</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45788</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45788</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45788</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45788</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45788</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45788</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45788</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45788</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45788</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45788</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45788</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45788</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45788</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45788</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45788</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45788</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45788</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45788</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45788</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45788</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45788</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45788</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45788</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45788</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45788</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45788</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45788</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45788</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45788</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45788</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45788</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45788</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45788</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45788</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45788</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45788</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45788</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45788</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45788</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45788</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45788</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45788</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45788</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45788</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45788</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45788</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45788</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45788</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45788</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45788</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45788</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45788</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45788</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45788</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45788</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45788</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45788</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45788</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45788</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45788</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45788</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45788</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45788</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45788</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45788</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45788</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45788</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45788</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45788</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45788</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45788</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45788</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45788</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45788</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45788</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45788</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45788</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45788</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45788</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45788</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45788</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45788</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45788</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45788</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45788</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45788</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45788</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45788</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45788</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45788</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45788</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45788</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45788</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45788</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45788</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45788</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45788</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45788</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45788</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45788</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45788</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45788</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45788</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45788</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45788</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45788</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45788</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45788</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45788</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45788</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45788</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45788</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45788</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45788</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45788</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45788</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45788</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45788</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45788</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45788</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45788</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45788</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45788</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45788</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45788</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45788</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45788</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45788</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45788</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45788</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45788</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45788</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45788</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45788</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45788</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45788</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45788</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45788</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45788</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45788</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45788</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45788</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45788</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45788</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45788</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45788</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45788</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45788</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45788</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45788</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45788</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45788</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45788</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45788</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45788</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45788</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45788</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45788</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45788</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45788</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45788</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45788</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45788</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45788</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45788</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45788</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45788</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45788</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45788</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45788</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45788</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45788</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45788</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45788</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45788</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45788</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45788</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45788</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45788</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45788</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45788</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45788</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45788</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45788</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45788</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45788</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45788</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45788</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45788</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45788</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45788</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45788</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45788</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45788</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45788</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45788</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45788</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45788</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45788</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45788</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45788</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45788</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45788</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45788</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45788</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45788</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45788</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45788</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45788</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45788</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45788</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45788</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45788</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45788</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45788</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45788</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45788</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45788</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45788</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45788</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45788</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45788</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45788</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45788</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45788</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45788</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45788</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45788</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45788</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45788</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45788</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45788</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45788</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45788</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45788</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45788</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45788</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45788</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45788</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45788</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45788</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45788</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45788</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45788</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45788</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45788</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45788</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45788</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45788</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45788</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45788</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45788</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45788</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45788</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45788</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45788</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45788</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45788</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45788</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45788</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45788</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45788</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45788</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45788</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45788</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45788</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45788</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45788</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45788</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45788</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45788</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45788</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45788</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45788</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45788</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45788</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45788</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45788</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45788</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45788</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45788</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45788</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45788</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45788</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45788</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45788</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45788</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45788</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45788</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45788</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45788</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45788</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45788</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45788</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45788</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45788</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45788</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45788</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45788</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45788</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45788</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45788</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45788</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45788</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45788</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45788</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45788</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45788</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45788</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45788</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45788</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45788</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45788</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45788</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45788</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45788</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45788</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45788</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45788</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45788</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45788</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45788</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45788</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45788</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45788</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45788</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45788</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45788</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45788</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45788</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45788</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45788</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45788</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45788</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45788</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45788</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45788</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45788</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45788</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45788</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45788</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45788</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45788</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45788</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45788</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45788</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45788</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45788</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45788</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45788</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45788</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45788</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45788</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45788</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45788</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45788</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45788</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45788</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45788</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45788</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45788</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45788</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45788</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45788</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45788</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45788</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45788</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45788</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45788</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45788</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45788</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45788</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45788</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45788</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45788</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45788</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45788</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45788</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45788</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45788</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45788</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45788</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45788</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45788</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45788</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45788</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45788</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45788</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45788</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45788</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45788</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45788</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45788</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45788</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45788</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45788</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45788</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45788</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45788</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45788</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45788</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45788</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45788</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45788</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45788</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45788</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45788</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45788</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45788</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45788</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45788</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45788</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45788</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45788</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45788</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45788</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45788</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45788</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45788</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45788</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45788</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45788</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45788</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45788</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45788</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45788</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45788</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45788</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45788</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45788</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45788</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45788</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45788</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45788</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45788</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45788</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45788</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45788</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45788</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45788</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45788</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45788</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45788</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45788</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45788</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45788</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45788</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45788</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45788</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45788</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45788</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45788</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45788</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45788</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45788</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45788</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45788</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45788</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45788</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45788</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45788</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45788</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45788</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45788</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45788</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45788</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45788</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45788</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45788</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45788</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45788</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45788</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45788</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45788</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45788</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45788</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45788</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45788</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45788</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45788</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45788</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45788</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45788</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45788</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45788</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45788</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45788</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45788</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45788</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45788</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45788</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45788</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45788</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45788</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45788</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45788</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45788</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45788</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45788</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45788</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45788</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45788</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45788</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45788</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45788</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45788</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45788</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45788</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45788</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45788</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45788</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45788</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45788</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45788</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45788</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45788</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45788</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45788</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45788</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45788</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45788</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45788</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45788</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45788</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45788</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45788</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45788</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45788</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45788</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45788</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45788</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45788</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45788</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45788</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45788</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45788</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45788</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45788</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45788</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45788</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45788</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45788</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45788</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45788</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45788</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45788</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45788</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45788</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45788</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45788</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45788</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45788</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45788</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45788</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45788</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45788</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45788</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45788</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45788</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45788</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45788</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45788</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45788</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45788</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45788</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45788</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45788</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45788</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45788</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45788</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45788</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45788</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45788</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45788</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45788</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45788</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45788</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45788</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45788</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45788</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45788</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45788</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45788</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45788</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45788</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45788</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45788</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45788</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45788</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45788</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45788</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45788</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45788</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45788</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45788</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45788</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45788</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45788</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45788</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45788</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45788</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45788</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45788</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45788</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45788</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45788</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45788</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45788</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45788</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45788</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45788</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45788</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45788</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45788</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45788</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45788</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45788</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45788</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45788</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45788</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45788</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45788</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45788</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45788</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45788</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45788</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45788</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45788</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45788</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45788</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45788</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45788</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45788</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45788</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45788</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45788</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45788</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45788</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45788</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45788</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45788</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45788</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45788</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45788</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45788</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45788</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45788</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45788</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45788</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45788</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45788</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45788</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45788</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45788</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45788</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45788</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45788</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45788</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45788</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45788</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45788</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45788</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45788</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45788</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45788</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45788</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45788</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45788</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45788</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45788</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45788</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45788</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45788</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45788</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45788</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45788</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45788</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45788</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45788</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45788</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45788</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45788</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45788</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45788</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45788</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45788</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45788</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45788</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45788</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45788</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45788</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45788</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45788</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45788</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45788</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45788</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45788</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45788</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45788</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45788</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45788</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45788</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45788</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45788</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45788</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45788</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45788</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45788</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45788</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45788</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45788</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45788</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45788</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45788</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45788</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45788</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45788</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45788</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45788</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45788</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45788</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45788</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45788</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45788</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45788</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45788</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45788</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45788</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45788</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45788</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45788</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45788</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45788</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45788</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45788</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45788</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45788</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45788</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45788</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45788</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45788</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45788</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45788</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45788</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45788</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45788</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45788</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45788</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45788</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45788</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45788</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45788</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45788</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45788</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45788</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45788</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45788</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45788</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45788</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45788</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45788</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45788</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45788</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45788</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45788</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45788</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45788</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45788</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45788</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45788</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45788</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45788</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45788</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45788</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45788</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45788</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45788</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45788</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45788</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45788</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45788</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45788</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45788</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45788</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45788</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45788</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45788</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45788</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45788</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45788</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45788</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45788</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45788</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45788</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45788</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45788</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45788</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45788</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45788</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45788</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45788</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45788</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45788</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45788</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45788</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45788</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45788</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45788</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45788</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45788</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45788</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45788</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45788</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45788</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45788</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45788</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45788</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45788</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45788</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45788</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45788</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45788</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45788</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45788</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45788</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45788</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45788</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45788</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45788</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45788</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45788</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45788</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45788</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45788</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45788</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45788</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45788</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45788</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45788</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45788</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45788</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45788</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45788</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45788</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45788</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45788</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45788</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45788</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45788</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45788</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45788</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45788</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45788</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45788</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45788</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45788</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45788</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45788</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45788</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45788</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45788</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45788</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45788</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45788</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45788</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45788</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45788</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45788</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45788</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45788</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45788</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45788</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45788</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45788</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45788</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45788</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45788</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45788</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45788</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45788</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45788</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45788</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45788</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45788</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45788</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45788</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45788</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45788</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45788</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45788</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45788</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45788</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45788</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45788</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45788</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45788</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45788</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45788</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45788</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45788</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45788</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45788</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45788</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45788</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45788</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45788</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45788</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45788</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45788</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45788</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45788</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45788</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45788</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45788</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45788</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45788</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45788</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45788</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45788</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45788</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45788</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45788</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45788</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45788</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45788</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45788</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45788</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45788</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45788</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45788</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45788</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45788</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45788</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45788</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45788</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45788</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45788</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45788</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45788</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45788</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45788</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45788</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45788</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45788</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45788</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45788</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45788</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45788</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45788</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45788</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45788</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45788</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45788</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45788</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45788</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45788</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45788</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45788</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45788</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45788</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45788</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45788</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45788</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45788</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45788</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45788</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45788</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45788</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45788</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45788</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45788</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45788</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45788</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45788</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45788</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45788</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45788</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45788</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45788</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45788</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45788</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45788</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45788</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45788</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45788</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45788</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45788</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45788</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45788</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45788</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45788</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45788</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45788</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45788</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45788</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45788</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45788</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45788</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45788</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45788</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45788</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45788</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45788</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45788</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45788</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45788</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45788</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45788</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45788</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45788</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45788</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45788</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45788</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45788</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45788</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45788</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45788</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45788</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45788</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45788</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45788</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45788</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45788</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45788</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45788</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45788</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45788</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45788</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45788</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45788</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45788</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45788</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45788</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45788</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45788</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45788</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45788</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45788</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45788</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45788</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45788</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45788</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45788</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45788</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45788</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45788</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45788</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45788</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45788</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45788</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45788</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45788</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45788</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45788</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45788</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45788</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45788</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45788</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45788</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45788</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45788</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45788</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45788</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45788</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45788</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45788</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45788</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45788</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45788</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45788</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45788</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45788</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45788</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45788</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45788</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45788</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45788</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45788</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45788</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45788</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45788</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45788</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45788</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45788</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45788</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45788</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45788</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45788</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45788</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45788</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45788</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45788</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45788</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45788</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45788</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45788</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45788</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45788</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45788</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45788</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45788</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45788</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45788</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45788</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45788</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45788</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45788</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45788</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45788</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45788</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45788</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45788</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45788</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45788</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45788</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45788</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45788</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45788</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45788</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45788</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45788</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45788</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45788</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45788</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45788</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45788</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45788</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45788</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45788</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45788</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45788</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45788</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45788</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45788</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45788</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45788</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45788</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45788</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45788</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45788</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45788</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45788</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45788</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45788</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45788</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45788</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45788</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45788</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45788</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45788</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45788</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45788</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45788</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45788</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45788</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45788</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45788</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45788</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45788</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45788</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45788</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45788</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45788</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45788</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45788</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45788</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45788</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45788</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45788</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45788</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45788</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45788</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45788</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45788</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45788</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45788</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45788</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45788</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45788</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45788</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45788</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45788</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45788</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45788</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45788</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45788</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45788</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45788</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45788</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45788</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45788</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45788</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45788</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45788</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45788</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45788</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45788</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45788</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45788</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45788</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45788</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45788</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45788</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45788</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45788</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45788</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45788</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45788</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45788</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45788</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45788</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45788</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45788</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45788</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45788</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45788</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45788</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45788</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45788</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45788</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45788</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45788</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45788</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45788</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45788</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45788</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45788</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45788</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45788</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45788</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45788</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45788</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45788</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45788</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45788</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45788</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45788</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45788</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45788</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45788</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45788</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45788</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45788</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45788</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45788</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45788</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45788</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45788</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45788</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45788</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45788</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45788</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45788</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45788</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45788</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45788</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45788</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45788</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45788</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45788</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45788</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45788</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45788</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45788</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45788</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45788</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45788</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45788</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45788</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45788</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45788</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45788</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45788</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45788</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45788</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45788</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45788</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45788</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45788</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45788</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45788</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45788</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45788</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45788</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45788</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45788</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45788</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45788</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45788</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45788</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45788</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45788</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45788</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45788</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45788</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45788</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45788</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45788</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45788</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45788</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45788</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45788</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45788</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45788</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45788</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45788</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45788</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45788</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45788</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45788</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45788</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45788</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45788</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45788</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45788</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45788</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45788</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45788</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45788</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45788</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45788</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45788</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45788</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45788</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45788</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45788</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45788</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45788</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45788</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45788</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45788</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45788</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45788</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45788</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45788</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45788</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45788</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45788</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45788</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45788</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45788</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45788</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45788</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45788</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45788</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45788</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45788</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45788</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45788</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45788</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45788</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45788</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45788</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45788</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45788</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45788</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45788</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45788</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45788</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45788</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45788</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45788</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45788</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45788</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45788</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45788</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45788</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45788</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45788</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45788</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45788</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45788</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45788</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45788</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45788</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45788</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45788</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45788</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45788</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45788</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45788</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45788</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45788</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45788</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45788</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45788</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45788</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45788</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45788</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45788</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45788</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45788</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45788</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45788</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45788</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45788</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45788</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45788</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45788</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45788</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45788</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45788</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45788</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45788</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45788</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45788</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45788</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45788</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45788</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45788</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45788</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45788</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45788</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45788</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45788</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45788</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45788</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45788</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45788</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45788</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45788</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45788</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45788</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45788</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45788</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45788</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45788</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45788</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45788</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45788</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45788</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45788</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45788</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45788</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45788</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45788</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45788</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45788</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45788</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45788</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45788</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45788</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45788</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45788</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45788</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45788</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45788</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45788</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45788</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45788</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45788</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45788</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45788</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45788</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45788</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45788</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45788</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45788</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45788</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45788</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45788</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45788</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45788</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45788</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45788</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45788</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45788</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45788</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45788</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45788</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45788</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45788</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45788</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45788</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45788</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45788</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45788</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45788</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45788</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45788</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45788</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45788</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45788</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45788</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45788</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45788</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45788</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45788</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45788</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45788</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45788</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45788</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45788</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45788</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45788</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45788</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45788</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45788</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45788</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45788</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45788</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45788</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45788</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45788</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45788</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45788</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45788</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45788</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45788</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45788</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45788</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45788</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45788</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45788</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45788</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45788</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45788</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45788</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45788</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45788</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45788</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45788</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45788</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45788</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45788</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45788</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45788</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45788</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45788</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45788</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45788</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45788</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45788</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45788</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45788</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45788</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45788</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45788</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45788</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45788</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45788</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45788</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45788</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45788</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45788</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45788</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45788</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45788</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45788</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45788</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45788</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45788</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45788</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45788</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45788</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45788</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45788</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45788</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45788</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45788</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45788</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45788</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45788</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45788</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45788</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45788</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45788</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45788</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45788</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45788</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45788</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45788</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45788</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45788</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45788</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45788</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45788</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45788</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45788</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45788</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45788</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45788</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45788</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45788</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45788</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45788</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45788</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45788</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45788</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45788</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45788</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45788</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45788</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45788</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45788</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45788</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45788</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45788</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45788</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45788</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45788</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45788</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45788</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45788</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45788</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45788</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45788</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45788</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45788</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45788</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45788</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45788</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45788</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45788</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45788</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45788</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45788</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45788</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45788</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45788</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45788</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45788</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45788</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45788</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45788</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45788</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45788</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45788</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45788</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45788</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45788</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45788</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45788</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45788</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45788</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45788</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45788</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45788</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45788</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45788</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45788</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45788</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45788</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45788</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45788</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45788</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45788</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45788</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45788</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45788</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45788</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45788</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45788</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45788</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45788</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45788</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45788</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45788</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45788</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45788</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45788</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45788</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45788</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45788</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45788</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45788</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45788</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45788</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45788</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45788</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45788</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45788</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45788</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45788</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45788</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45788</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45788</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45788</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45788</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45788</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45788</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45788</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45788</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45788</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45788</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45788</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45788</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45788</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45788</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45788</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45788</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45788</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45788</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45788</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45788</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45788</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45788</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45788</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45788</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45788</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45788</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45788</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45788</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45788</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45788</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45788</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45788</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45788</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45788</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45788</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45788</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45788</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45788</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45788</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45788</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45788</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45788</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45788</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45788</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45788</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45788</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45788</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45788</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45788</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45788</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45788</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45788</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45788</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45788</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45788</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45788</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45788</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45788</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45788</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45788</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45788</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45788</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45788</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45788</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45788</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45788</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45788</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45788</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45788</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45788</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45788</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45788</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45788</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45788</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45788</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45788</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45788</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45788</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45788</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45788</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45788</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45788</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45788</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45788</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45788</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45788</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45788</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45788</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45788</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45788</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45788</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45788</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45788</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45788</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45788</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45788</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45788</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45788</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45788</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45788</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45788</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45788</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45788</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45788</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45788</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45788</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45788</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45788</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45788</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45788</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45788</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45788</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45788</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45788</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45788</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45788</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45788</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45788</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45788</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45788</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45788</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45788</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45788</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45788</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45788</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45788</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45788</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45788</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45788</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45788</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45788</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45788</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45788</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45788</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45788</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45788</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45788</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45788</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45788</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45788</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45788</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45788</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45788</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45788</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45788</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45788</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45788</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45788</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45788</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45788</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45788</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45788</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45788</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45788</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45788</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45788</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45788</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45788</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45788</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45788</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45788</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45788</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45788</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45788</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45788</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45788</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45788</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45788</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45788</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45788</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45788</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45788</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45788</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45788</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45788</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45788</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45788</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45788</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45788</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45788</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45788</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45788</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45788</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45788</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45788</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45788</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45788</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45788</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45788</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45788</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45788</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45788</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45788</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45788</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45788</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45788</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45788</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45788</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45788</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45788</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45788</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45788</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45788</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45788</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45788</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45788</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45788</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45788</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45788</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45788</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45788</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45788</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45788</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45788</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45788</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45788</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45788</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45788</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45788</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45788</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45788</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45788</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45788</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45788</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45788</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45788</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45788</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45788</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45788</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45788</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45788</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45788</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45788</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45788</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45788</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45788</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45788</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45788</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45788</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45788</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45788</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45788</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45788</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45788</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45788</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45788</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45788</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45788</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45788</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45788</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45788</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45788</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45788</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45788</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45788</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45788</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45788</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45788</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45788</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45788</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45788</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45788</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45788</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45788</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45788</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45788</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45788</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45788</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45788</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45788</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45788</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45788</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45788</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45788</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45788</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45788</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45788</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45788</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45788</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45788</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45788</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45788</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45788</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45788</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45788</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45788</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45788</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45788</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45788</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45788</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45788</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45788</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45788</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45788</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45788</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45788</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45788</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45788</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45788</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45788</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45788</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45788</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45788</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45788</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45788</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45788</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45788</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45788</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45788</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45788</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45788</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45788</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45788</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45788</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45788</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45788</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45788</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45788</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45788</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45788</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45788</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45788</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45788</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45788</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45788</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45788</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45788</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45788</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45788</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45788</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45788</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45788</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45788</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45788</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45788</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45788</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45788</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45788</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45788</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45788</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45788</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45788</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45788</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45788</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45788</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45788</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45788</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45788</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45788</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45788</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45788</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45788</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45788</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45788</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45788</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45788</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45788</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45788</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45788</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45788</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45788</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45788</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45788</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45788</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45788</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45788</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45788</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45788</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45788</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45788</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45788</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45788</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45788</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45788</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45788</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45788</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45788</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45788</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45788</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45788</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45788</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45788</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45788</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45788</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45788</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45788</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45788</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45788</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45788</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45788</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45788</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45788</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45788</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45788</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45788</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45788</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45788</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45788</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45788</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45788</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45788</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45788</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45788</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45788</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45788</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45788</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45788</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45788</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45788</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45788</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45788</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45788</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45788</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45788</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45788</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45788</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45788</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45788</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45788</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45788</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45788</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45788</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45788</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45788</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45788</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45788</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45788</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45788</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45788</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45788</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45788</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45788</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45788</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45788</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45788</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45788</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45788</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45788</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45788</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45788</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45788</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45788</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45788</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45788</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45788</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45788</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45788</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45788</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45788</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45788</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45788</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45788</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45788</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45788</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45788</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45788</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45788</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45788</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45788</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45788</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45788</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45788</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45788</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45788</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45788</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45788</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45788</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45788</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45788</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45788</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45788</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45788</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45788</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45788</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45788</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45788</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45788</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45788</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45788</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45788</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45788</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45788</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45788</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45788</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45788</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45788</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45788</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45788</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45788</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45788</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45788</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45788</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45788</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45788</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45788</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45788</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45788</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45788</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45788</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45788</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45788</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45788</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45788</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45788</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45788</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45788</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45788</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45788</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45788</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45788</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45788</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45788</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45788</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45788</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45788</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45788</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45788</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45788</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45788</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45788</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45788</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45788</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45788</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45788</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45788</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45788</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45788</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45788</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45788</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45788</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45788</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45788</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45788</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45788</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45788</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45788</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45788</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45788</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45788</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45788</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45788</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45788</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45788</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45788</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45788</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45788</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45788</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45788</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45788</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45788</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45788</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45788</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45788</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45788</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45788</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45788</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45788</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45788</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45788</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45788</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45788</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45788</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45788</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45788</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45788</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45788</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45788</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45788</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45788</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45788</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45788</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45788</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45788</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45788</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45788</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45788</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45788</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45788</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45788</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45788</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45788</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45788</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45788</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45788</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45788</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45788</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45788</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45788</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45788</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45788</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45788</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45788</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45788</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45788</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45788</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45788</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45788</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45788</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45788</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45788</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45788</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45788</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45788</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45788</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45788</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45788</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45788</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45788</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45788</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45788</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45788</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45788</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45788</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45788</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45788</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45788</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45788</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45788</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45788</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45788</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45788</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45788</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45788</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45788</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45788</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45788</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45788</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45788</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45788</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45788</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45788</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45788</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45788</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45788</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45788</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45788</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45788</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45788</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45788</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45788</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45788</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45788</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45788</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45788</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45788</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45788</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45788</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45788</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45788</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45788</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45788</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45788</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45788</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45788</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45788</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45788</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45788</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45788</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45788</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45788</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45788</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45788</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45788</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45788</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45788</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45788</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45788</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45788</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45788</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45788</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45788</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45788</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45788</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45788</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45788</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45788</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45788</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45788</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45788</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45788</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45788</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45788</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45788</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45788</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45788</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45788</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45788</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45788</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45788</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45788</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45788</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45788</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45788</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45788</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45788</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45788</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45788</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45788</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45788</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45788</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45788</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45788</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45788</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45788</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45788</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45788</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45788</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45788</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45788</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45788</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45788</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45788</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45788</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45788</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45788</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45788</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45788</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45788</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45788</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45788</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45788</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45788</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45788</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45788</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45788</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45788</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45788</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45788</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45788</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45788</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45788</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45788</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45788</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45788</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45788</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45788</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45788</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45788</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45788</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45788</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45788</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45788</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45788</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45788</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45788</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45788</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45788</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45788</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45788</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45788</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45788</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45788</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45788</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45788</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45788</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45788</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45788</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45788</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45788</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45788</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45788</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45788</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45788</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45788</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45788</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45788</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45788</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45788</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45788</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45788</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45788</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45788</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45788</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45788</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45788</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45788</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45788</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45788</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45788</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45788</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45788</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45788</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45788</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45788</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45788</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45788</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45788</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45788</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45788</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45788</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45788</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45788</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45788</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45788</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45788</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45788</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45788</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45788</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45788</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45788</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45788</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45788</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45788</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45788</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45788</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45788</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45788</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45788</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45788</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45788</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45788</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45788</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45788</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45788</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45788</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45788</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45788</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45788</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45788</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45788</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45788</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45788</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45788</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45788</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45788</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45788</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45788</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45788</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45788</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45788</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45788</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45788</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45788</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45788</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45788</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45788</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45788</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45788</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45788</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45788</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45788</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45788</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45788</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45788</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45788</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45788</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45788</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45788</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45788</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45788</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45788</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45788</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45788</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45788</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45788</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45788</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45788</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45788</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45788</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45788</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45788</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45788</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45788</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45788</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45788</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45788</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45788</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45788</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45788</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45788</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45788</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45788</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45788</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45788</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45788</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45788</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45788</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45788</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45788</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45788</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45788</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45788</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45788</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45788</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45788</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45788</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45788</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45788</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45788</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45788</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45788</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45788</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45788</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45788</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45788</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45788</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45788</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45788</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45788</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45788</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45788</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45788</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45788</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45788</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45788</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45788</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45788</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45788</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45788</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45788</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45788</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45788</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45788</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45788</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45788</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45788</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45788</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45788</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45788</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45788</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45788</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45788</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45788</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45788</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45788</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45788</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45788</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45788</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45788</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45788</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45788</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45788</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45788</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45788</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45788</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45788</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45788</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45788</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45788</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45788</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45788</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45788</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45788</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45788</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45788</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45788</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45788</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45788</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45788</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45788</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45788</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45788</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45788</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45788</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45788</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45788</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45788</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45788</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45788</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45788</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45788</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45788</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45788</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45788</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45788</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45788</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45788</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45788</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45788</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45788</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45788</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45788</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45788</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45788</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45788</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45788</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45788</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45788</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45788</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45788</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45788</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45788</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45788</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45788</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45788</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45788</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45788</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45788</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45788</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45788</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45788</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45788</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45788</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45788</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45788</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45788</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45788</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45788</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45788</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45788</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45788</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45788</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45788</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45788</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45788</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45788</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45788</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45788</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45788</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45788</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45788</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45788</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45788</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45788</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45788</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45788</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45788</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45788</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45788</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45788</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45788</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45788</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45788</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45788</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45788</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45788</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45788</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45788</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45788</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45788</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45788</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45788</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45788</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45788</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45788</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45788</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45788</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45788</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45788</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45788</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45788</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45788</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45788</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45788</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45788</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45788</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45788</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45788</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45788</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45788</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45788</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45788</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45788</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45788</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45788</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45788</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45788</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45788</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45788</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45788</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45788</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45788</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45788</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45788</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45788</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45788</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45788</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45788</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45788</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45788</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45788</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45788</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45788</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45788</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45788</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45788</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45788</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45788</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45788</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45788</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45788</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45788</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45788</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45788</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45788</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45788</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45788</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45788</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45788</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45788</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45788</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45788</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45788</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45788</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45788</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45788</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45788</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45788</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45788</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45788</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45788</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45788</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45788</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45788</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45788</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45788</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45788</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45788</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45788</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45788</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45788</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45788</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45788</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45788</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45788</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45788</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45788</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45788</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45788</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45788</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45788</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45788</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45788</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45788</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45788</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45788</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45788</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45788</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45788</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45788</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45788</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45788</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45788</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45788</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45788</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45788</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45788</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45788</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45788</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45788</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45788</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45788</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45788</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45788</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45788</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45788</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45788</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45788</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45788</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45788</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45788</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45788</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45788</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45788</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45788</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45788</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45788</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45788</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45788</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45788</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45788</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45788</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45788</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45788</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45788</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45788</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45788</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45788</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45788</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45788</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45788</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45788</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45788</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45788</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45788</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45788</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45788</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45788</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45788</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45788</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45788</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45788</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45788</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45788</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45788</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45788</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45788</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45788</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45788</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45788</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45788</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45788</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45788</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45788</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45788</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45788</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45788</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45788</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45788</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45788</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45788</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45788</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45788</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45788</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45788</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45788</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45788</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45788</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45788</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45788</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45788</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45788</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45788</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45788</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45788</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45788</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45788</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45788</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45788</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45788</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45788</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45788</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45788</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45788</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45788</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45788</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45788</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45788</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45788</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45788</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45788</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45788</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45788</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45788</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45788</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45788</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45788</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45788</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45788</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45788</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45788</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45788</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45788</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45788</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45788</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45788</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45788</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45788</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45788</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45788</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45788</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45788</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45788</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45788</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45788</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45788</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45788</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45788</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45788</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45788</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45788</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45788</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45788</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45788</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45788</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45788</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45788</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45788</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45788</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45788</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45788</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45788</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45788</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45788</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45788</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45788</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45788</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45788</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45788</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45788</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45788</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45788</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45788</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45788</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45788</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45788</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45788</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45788</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45788</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45788</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45788</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45788</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45788</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45788</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45788</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45788</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45788</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45788</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45788</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45788</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45788</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45788</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45788</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45788</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45788</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45788</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45788</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45788</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45788</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45788</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45788</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45788</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45788</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45788</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45788</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45788</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45788</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45788</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45788</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45788</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45788</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45788</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45788</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45788</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45788</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45788</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45788</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45788</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45788</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45788</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45788</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45788</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45788</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45788</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45788</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45788</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45788</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45788</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45788</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45788</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45788</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45788</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45788</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45788</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45788</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45788</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45788</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45788</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45788</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45788</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45788</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45788</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45788</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45788</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45788</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45788</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45788</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45788</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45788</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45788</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45788</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45788</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45788</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45788</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45788</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45788</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45788</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45788</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45788</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45788</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45788</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45788</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45788</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45788</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45788</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45788</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45788</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45788</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45788</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45788</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45788</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45788</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45788</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45788</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45788</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45788</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45788</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45788</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45788</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45788</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45788</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45788</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45788</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45788</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45788</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45788</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45788</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45788</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45788</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45788</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45788</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45788</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45788</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45788</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45788</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45788</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45788</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45788</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45788</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45788</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45788</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45788</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45788</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45788</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45788</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45788</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45788</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45788</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45788</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45788</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45788</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45788</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45788</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45788</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45788</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45788</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45788</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45788</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45788</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45788</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45788</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45788</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45788</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45788</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45788</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45788</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45788</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45788</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45788</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45788</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45788</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45788</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45788</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45788</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45788</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45788</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45788</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45788</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45788</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45788</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45788</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45788</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45788</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45788</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45788</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45788</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45788</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45788</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45788</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45788</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45788</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45788</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45788</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45788</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45788</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45788</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45788</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45788</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45788</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45788</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45788</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45788</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45788</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45788</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45788</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45788</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45788</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45788</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45788</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45788</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45788</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45788</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45788</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45788</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45788</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45788</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45788</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45788</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45788</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45788</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45788</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45788</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45788</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45788</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45788</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45788</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45788</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45788</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45788</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45788</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45788</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45788</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45788</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45788</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45788</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45788</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45788</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45788</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45788</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45788</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45788</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45788</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45788</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45788</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45788</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45788</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45788</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45788</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45788</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45788</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45788</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45788</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45788</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45788</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45788</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45788</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45788</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45788</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45788</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45788</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45788</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45788</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45788</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45788</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45788</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45788</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45788</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45788</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45788</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45788</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45788</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45788</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45788</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45788</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45788</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45788</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45788</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45788</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45788</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45788</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45788</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45788</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45788</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45788</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45788</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45788</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45788</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45788</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45788</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45788</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45788</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45788</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45788</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45788</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45788</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45788</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45788</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45788</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45788</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45788</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45788</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45788</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45788</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45788</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45788</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45788</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45788</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45788</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45788</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45788</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45788</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45788</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45788</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45788</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45788</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45788</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45788</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45788</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45788</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45788</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45788</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45788</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45788</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45788</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45788</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45788</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45788</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45788</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45788</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45788</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45788</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45788</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45788</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45788</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45788</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45788</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45788</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45788</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45788</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45788</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45788</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45788</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45788</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45788</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45788</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45788</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45788</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45788</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45788</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45788</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45788</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45788</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45788</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45788</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45788</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45788</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45788</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45788</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45788</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45788</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45788</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45788</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45788</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45788</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45788</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45788</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45788</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45788</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45788</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45788</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45788</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45788</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45788</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45788</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45788</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45788</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45788</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45788</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45788</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45788</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45788</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45788</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45788</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45788</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45788</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45788</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45788</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45788</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45788</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45788</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45788</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45788</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45788</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45788</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45788</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45788</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45788</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45788</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45788</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45788</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45788</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45788</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45788</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45788</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45788</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45788</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45788</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45788</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45788</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45788</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45788</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45788</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45788</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45788</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45788</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45788</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45788</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45788</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45788</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45788</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45788</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45788</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45788</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45788</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45788</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45788</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45788</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45788</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45788</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45788</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45788</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45788</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45788</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45788</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45788</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45788</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45788</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45788</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45788</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45788</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45788</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45788</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45788</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45788</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45788</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45788</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45788</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45788</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45788</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45788</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45788</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45788</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45788</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45788</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45788</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45788</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45788</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45788</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45788</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45788</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45788</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45788</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45788</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45788</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45788</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45788</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45788</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45788</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45788</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45788</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45788</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45788</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45788</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45788</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45788</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45788</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45788</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45788</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45788</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45788</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45788</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45788</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45788</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45788</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45788</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45788</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45788</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45788</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45788</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45788</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45788</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45788</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45788</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45788</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45788</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45788</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45788</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45788</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45788</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45788</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45788</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45788</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45788</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45788</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45788</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45788</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45788</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45788</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45788</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45788</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45788</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45788</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45788</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45788</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45788</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45788</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45788</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45788</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45788</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45788</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45788</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45788</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45788</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45788</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45788</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45788</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45788</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45788</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45788</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45788</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45788</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45788</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45788</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45788</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45788</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45788</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45788</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45788</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45788</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45788</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45788</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45788</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45788</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45788</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45788</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45788</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45788</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45788</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45788</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45788</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45788</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45788</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45788</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45788</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45788</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45788</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45788</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45788</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45788</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45788</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45788</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45788</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45788</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45788</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45788</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45788</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45788</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45788</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45788</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45788</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45788</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45788</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45788</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45788</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45788</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45788</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45788</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45788</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45788</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45788</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45788</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45788</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45788</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45788</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45788</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45788</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45788</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45788</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45788</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45788</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45788</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45788</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45788</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45788</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45788</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45788</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45788</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45788</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45788</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45788</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45788</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45788</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45788</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45788</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45788</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45788</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45788</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45788</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45788</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45788</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45788</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45788</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45788</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45788</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45788</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45788</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45788</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45788</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45788</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45788</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45788</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45788</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45788</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45788</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45788</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45788</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45788</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45788</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45788</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45788</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45788</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45788</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45788</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45788</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45788</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45788</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45788</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45788</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45788</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45788</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45788</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45788</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45788</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45788</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45788</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45788</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45788</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45788</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45788</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45788</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45788</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45788</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45788</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45788</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45788</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45788</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45788</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45788</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45788</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45788</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45788</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45788</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45788</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45788</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45788</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45788</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45788</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45788</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45788</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45788</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45788</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45788</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45788</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45788</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45788</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45788</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45788</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45788</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45788</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45788</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45788</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45788</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45788</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45788</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45788</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45788</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45788</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45788</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45788</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45788</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45788</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45788</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45788</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45788</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45788</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45788</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45788</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45788</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45788</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45788</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45788</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45788</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45788</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45788</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45788</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45788</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45788</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45788</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45788</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45788</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45788</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45788</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45788</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45788</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45788</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45788</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45788</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45788</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45788</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45788</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45788</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45788</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45788</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45788</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45788</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45788</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45788</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45788</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45788</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45788</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45788</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45788</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45788</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45788</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45788</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45788</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45788</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45788</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45788</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45788</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45788</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45788</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45788</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45788</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45788</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45788</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45788</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45788</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45788</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45788</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45788</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45788</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45788</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45788</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45788</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45788</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45788</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45788</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45788</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45788</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45788</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45788</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45788</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45788</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45788</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45788</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45788</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45788</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45788</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45788</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45788</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45788</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45788</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45788</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45788</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45788</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45788</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45788</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45788</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45788</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45788</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45788</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45788</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45788</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45788</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45788</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45788</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45788</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45788</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45788</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45788</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45788</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45788</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45788</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45788</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45788</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45788</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45788</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45788</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45788</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45788</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45788</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45788</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45788</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45788</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45788</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45788</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45788</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45788</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45788</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45788</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45788</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45788</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45788</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45788</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45788</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45788</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45788</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45788</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45788</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45788</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45788</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45788</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45788</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45788</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45788</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45788</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45788</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45788</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45788</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45788</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45788</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45788</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45788</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45788</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45788</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45788</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45788</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45788</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45788</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45788</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45788</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45788</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45788</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45788</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45788</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45788</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45788</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45788</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45788</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45788</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45788</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45788</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45788</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45788</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45788</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45788</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45788</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45788</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45788</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45788</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45788</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45788</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45788</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45788</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45788</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45788</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45788</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45788</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45788</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45788</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45788</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45788</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45788</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45788</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45788</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45788</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45788</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45788</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45788</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45788</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45788</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45788</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45788</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45788</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45788</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45788</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45788</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45788</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45788</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45788</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45788</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45788</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45788</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45788</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45788</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45788</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45788</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45788</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45788</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45788</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45788</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45788</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45788</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45788</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45788</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45788</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45788</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45788</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45788</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45788</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45788</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45788</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45788</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45788</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45788</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45788</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45788</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45788</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45788</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45788</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45788</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45788</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45788</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45788</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45788</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45788</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45788</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45788</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45788</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45788</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45788</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45788</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45788</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45788</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45788</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45788</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45788</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45788</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45788</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45788</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45788</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45788</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45788</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45788</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45788</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45788</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45788</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45788</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45788</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45788</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45788</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45788</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45788</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45788</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45788</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45788</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45788</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45788</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45788</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45788</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45788</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45788</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45788</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45788</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45788</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45788</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45788</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45788</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45788</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45788</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45788</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45788</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45788</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45788</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45788</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45788</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45788</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45788</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45788</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45788</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45788</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45788</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45788</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45788</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45788</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45788</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45788</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45788</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45788</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45788</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45788</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45788</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45788</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45788</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45788</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45788</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45788</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45788</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45788</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45788</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45788</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45788</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45788</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45788</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45788</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45788</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45788</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45788</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45788</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45788</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45788</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45788</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45788</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45788</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45788</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45788</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45788</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45788</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45788</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45788</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45788</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45788</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45788</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45788</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45788</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45788</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45788</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45788</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45788</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45788</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45788</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45788</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45788</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45788</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45788</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45788</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45788</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45788</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45788</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45788</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45788</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45788</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45788</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45788</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45788</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45788</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45788</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45788</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45788</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45788</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45788</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45788</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45788</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45788</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45788</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45788</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45788</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45788</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45788</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45788</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45788</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45788</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45788</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45788</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45788</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45788</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45788</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45788</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45788</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45788</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45788</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45788</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45788</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45788</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45788</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45788</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45788</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45788</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45788</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45788</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45788</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45788</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45788</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45788</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45788</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45788</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45788</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45788</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45788</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45788</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45788</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45788</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45788</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45788</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45788</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45788</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45788</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45788</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45788</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45788</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45788</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45788</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45788</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45788</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45788</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45788</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45788</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45788</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45788</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45788</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45788</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45788</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45788</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45788</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45788</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45788</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45788</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45788</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45788</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45788</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45788</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45788</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45788</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45788</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45788</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45788</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45788</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45788</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45788</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45788</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45788</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45788</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45788</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45788</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45788</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45788</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45788</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45788</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45788</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45788</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45788</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45788</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45788</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45788</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45788</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45788</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45788</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45788</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45788</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45788</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45788</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45788</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45788</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45788</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45788</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45788</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45788</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45788</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45788</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45788</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45788</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45788</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45788</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45788</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45788</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45788</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45788</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45788</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45788</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45788</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45788</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45788</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45788</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45788</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45788</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45788</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45788</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45788</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45788</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45788</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45788</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45788</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45788</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45788</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45788</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45788</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45788</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45788</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45788</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45788</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45788</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45788</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45788</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45788</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45788</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45788</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45788</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45788</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45788</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45788</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45788</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45788</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45788</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45788</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45788</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45788</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45788</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45788</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45788</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45788</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45788</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45788</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45788</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45788</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45788</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45788</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45788</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45788</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45788</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45788</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45788</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45788</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45788</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45788</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45788</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45788</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45788</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45788</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45788</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45788</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45788</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45788</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45788</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45788</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45788</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45788</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45788</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45788</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45788</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45788</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45788</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45788</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45788</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45788</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45788</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45788</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45788</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45788</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45788</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45788</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45788</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45788</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45788</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45788</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45788</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45788</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45788</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45788</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45788</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45788</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45788</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45788</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45788</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45788</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45788</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45788</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45788</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45788</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45788</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45788</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45788</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45788</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45788</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45788</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45788</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45788</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45788</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45788</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45788</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45788</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45788</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45788</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45788</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45788</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45788</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45788</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45788</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45788</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45788</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45788</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45788</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45788</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45788</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45788</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45788</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45788</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45788</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45788</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45788</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45788</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45788</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45788</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45788</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45788</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45788</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45788</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45788</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45788</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45788</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45788</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45788</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45788</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45788</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45788</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45788</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45788</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45788</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45788</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45788</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45788</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45788</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45788</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45788</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45788</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45788</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45788</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45788</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45788</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45788</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45788</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45788</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45788</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45788</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45788</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45788</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45788</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45788</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45788</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45788</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45788</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45788</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45788</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45788</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45788</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45788</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45788</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45788</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45788</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45788</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45788</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45788</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45788</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45788</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45788</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45788</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45788</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45788</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45788</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45788</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45788</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45788</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45788</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45788</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45788</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45788</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45788</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45788</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45788</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45788</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45788</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45788</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45788</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45788</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45788</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45788</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45788</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45788</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45788</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45788</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45788</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45788</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45788</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45788</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45788</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45788</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45788</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45788</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45788</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45788</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45788</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45788</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45788</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45788</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45788</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45788</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45788</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45788</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45788</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45788</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45788</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45788</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45788</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45788</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45788</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45788</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45788</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45788</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45788</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45788</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45788</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45788</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45788</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45788</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45788</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45788</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45788</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45788</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45788</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45788</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45788</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45788</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45788</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45788</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45788</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45788</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45788</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45788</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45788</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45788</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45788</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45788</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45788</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45788</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45788</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45788</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45788</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45788</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45788</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45788</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45788</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45788</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45788</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45788</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45788</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45788</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45788</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45788</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45788</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45788</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45788</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45788</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45788</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45788</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45788</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45788</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45788</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45788</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45788</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45788</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45788</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45788</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45788</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45788</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45788</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45788</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45788</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45788</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45788</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45788</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45788</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45788</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45788</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45788</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45788</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45788</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45788</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45788</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45788</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45788</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45788</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45788</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45788</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45788</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45788</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45788</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45788</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45788</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45788</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45788</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45788</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45788</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45788</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45788</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45788</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45788</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45788</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45788</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45788</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45788</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45788</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45788</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45788</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45788</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45788</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45788</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45788</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45788</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45788</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45788</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45788</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45788</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45788</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45788</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45788</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45788</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45788</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45788</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45788</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45788</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45788</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45788</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45788</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45788</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45788</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45788</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45788</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45788</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45788</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45788</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45788</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45788</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45788</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45788</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45788</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45788</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45788</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45788</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45788</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45788</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45788</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45788</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45788</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45788</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45788</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45788</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45788</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45788</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45788</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45788</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45788</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45788</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45788</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45788</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45788</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45788</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45788</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45788</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45788</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45788</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45788</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45788</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45788</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45788</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45788</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45788</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45788</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45788</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45788</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45788</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45788</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45788</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45788</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45788</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45788</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45788</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45788</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45788</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45788</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45788</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45788</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45788</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45788</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45788</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45788</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45788</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45788</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45788</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45788</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45788</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45788</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45788</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45788</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45788</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45788</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45788</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45788</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45788</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45788</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45788</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45788</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45788</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45788</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45788</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45788</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45788</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45788</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45788</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45788</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45788</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45788</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45788</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45788</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45788</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45788</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45788</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45788</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45788</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45788</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45788</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45788</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45788</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45788</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45788</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45788</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45788</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45788</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45788</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45788</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45788</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45788</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45788</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45788</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45788</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45788</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45788</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45788</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45788</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45788</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45788</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45788</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45788</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45788</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45788</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45788</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45788</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45788</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45788</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45788</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45788</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45788</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45788</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45788</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45788</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45788</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45788</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45788</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45788</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45788</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45788</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45788</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45788</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45788</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45788</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45788</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45788</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45788</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45788</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45788</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45788</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45788</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45788</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45788</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45788</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45788</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45788</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45788</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45788</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45788</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45788</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45788</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45788</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45788</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45788</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45788</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45788</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45788</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45788</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45788</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45788</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45788</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45788</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45788</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45788</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45788</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45788</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45788</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45788</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45788</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45788</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45788</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45788</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45788</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45788</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45788</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45788</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45788</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45788</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45788</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45788</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45788</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45788</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45788</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45788</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45788</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45788</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45788</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45788</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45788</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45788</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45788</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45788</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45788</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45788</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45788</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45788</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45788</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45788</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45788</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45788</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45788</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45788</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45788</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45788</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45788</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45788</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45788</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45788</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45788</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45788</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45788</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45788</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45788</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45788</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45788</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45788</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45788</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45788</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45788</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45788</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45788</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45788</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45788</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45788</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45788</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45788</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45788</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45788</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45788</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45788</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45788</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45788</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45788</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45788</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45788</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45788</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45788</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45788</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45788</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45788</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45788</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45788</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45788</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45788</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45788</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45788</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45788</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45788</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45788</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45788</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45788</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45788</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45788</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45788</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45788</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45788</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45788</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45788</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45788</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45788</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45788</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45788</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45788</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45788</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45788</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45788</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45788</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45788</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45788</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45788</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45788</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45788</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45788</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45788</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45788</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45788</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45788</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45788</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45788</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45788</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45788</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45788</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45788</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45788</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45788</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45788</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45788</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45788</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45788</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45788</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45788</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45788</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45788</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45788</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45788</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45788</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45788</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45788</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45788</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45788</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45788</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45788</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45788</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45788</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45788</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45788</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45788</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45788</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45788</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45788</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45788</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45788</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45788</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45788</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45788</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45788</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45788</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45788</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45788</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45788</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45788</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45788</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45788</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45788</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45788</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45788</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45788</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45788</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45788</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45788</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45788</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45788</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45788</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45788</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45788</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45788</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45788</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45788</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45788</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45788</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45788</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45788</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45788</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45788</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45788</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45788</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45788</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45788</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45788</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45788</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45788</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45788</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45788</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45788</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45788</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45788</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45788</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45788</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45788</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45788</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45788</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45788</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45788</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45788</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45788</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45788</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45788</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45788</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45788</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45788</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45788</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45788</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45788</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45788</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45788</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45788</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45788</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45788</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45788</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45788</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45788</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45788</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45788</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45788</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45788</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45788</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45788</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45788</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45788</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45788</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45788</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45788</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45788</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45788</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45788</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45788</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45788</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45788</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45788</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45788</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45788</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45788</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45788</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45788</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45788</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45788</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45788</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45788</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45788</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45788</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45788</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45788</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45788</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45788</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45788</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45788</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45788</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45788</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45788</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45788</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45788</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45788</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45788</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45788</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45788</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45788</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45788</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45788</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45788</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45788</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45788</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45788</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45788</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45788</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45788</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45788</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45788</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45788</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45788</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45788</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45788</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45788</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45788</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45788</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45788</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45788</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45788</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45788</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45788</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45788</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45788</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45788</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45788</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45788</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45788</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45788</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45788</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45788</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45788</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45788</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45788</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45788</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45788</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45788</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45788</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45788</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45788</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45788</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45788</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45788</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45788</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45788</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45788</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45788</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45788</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45788</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45788</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45788</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45788</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45788</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45788</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45788</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45788</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45788</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45788</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45788</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45788</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45788</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45788</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45788</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45788</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45788</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45788</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45788</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45788</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45788</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45788</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45788</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45788</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45788</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45788</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45788</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45788</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45788</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45788</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45788</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45788</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45788</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45788</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45788</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45788</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45788</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45788</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45788</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45788</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45788</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45788</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45788</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45788</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45788</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45788</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45788</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45788</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45788</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45788</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45788</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45788</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45788</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45788</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45788</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45788</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45788</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45788</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45788</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45788</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45788</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45788</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45788</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45788</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45788</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45788</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45788</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45788</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45788</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45788</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45788</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45788</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45788</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45788</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45788</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45788</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45788</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45788</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45788</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45788</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45788</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45788</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45788</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45788</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45788</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45788</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45788</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45788</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45788</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45788</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45788</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45788</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45788</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45788</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45788</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45788</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45788</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45788</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45788</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45788</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45788</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45788</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45788</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45788</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45788</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45788</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45788</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45788</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45788</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45788</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45788</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45788</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45788</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45788</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45788</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45788</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45788</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45788</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45788</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45788</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45788</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45788</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45788</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45788</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45788</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45788</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45788</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45788</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45788</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45788</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45788</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45788</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45788</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45788</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45788</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45788</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45788</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45788</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45788</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45788</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45788</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45788</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45788</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45788</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45788</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45788</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45788</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45788</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45788</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45788</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45788</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45788</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45788</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45788</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45788</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45788</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45788</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45788</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45788</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45788</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45788</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45788</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45788</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45788</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45788</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45788</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45788</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45788</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45788</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45788</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45788</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45788</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45788</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45788</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45788</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45788</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45788</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45788</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45788</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45788</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45788</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45788</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45788</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45788</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45788</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45788</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45788</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45788</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45788</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45788</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45788</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45788</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45788</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45788</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45788</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45788</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45788</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45788</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45788</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45788</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45788</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45788</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45788</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45788</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45788</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45788</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45788</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45788</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45788</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45788</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45788</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45788</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45788</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45788</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45788</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45788</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45788</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45788</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45788</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45788</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45788</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45788</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45788</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45788</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45788</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45788</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45788</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45788</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45788</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45788</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45788</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45788</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45788</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45788</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45788</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45788</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45788</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45788</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45788</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45788</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45788</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45788</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45788</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45788</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45788</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45788</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45788</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45788</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45788</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45788</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45788</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45788</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45788</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45788</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45788</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45788</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45788</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45788</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45788</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45788</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45788</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45788</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45788</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45788</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45788</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45788</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45788</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45788</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45788</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45788</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45788</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45788</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45788</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45788</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45788</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45788</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45788</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45788</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45788</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45788</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45788</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45788</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45788</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45788</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45788</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45788</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45788</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45788</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45788</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45788</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45788</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45788</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45788</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45788</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45788</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45788</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45788</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45788</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45788</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45788</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45788</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45788</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45788</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45788</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45788</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45788</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45788</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45788</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45788</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45788</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45788</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45788</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45788</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45788</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45788</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45788</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45788</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45788</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45788</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45788</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45788</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45788</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45788</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45788</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45788</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45788</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45788</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45788</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45788</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45788</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45788</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45788</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45788</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45788</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45788</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45788</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45788</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45788</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45788</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45788</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45788</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45788</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45788</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45788</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45788</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45788</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45788</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45788</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45788</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45788</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45788</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45788</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45788</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45788</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45788</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45788</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45788</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45788</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45788</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45788</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45788</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45788</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45788</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45788</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45788</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45788</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45788</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45788</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45788</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45788</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45788</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45788</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45788</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45788</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45788</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45788</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45788</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45788</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45788</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45788</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45788</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45788</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45788</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45788</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45788</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45788</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45788</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45788</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45788</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45788</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45788</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45788</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45788</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45788</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45788</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45788</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45788</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45788</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45788</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45788</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45788</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45788</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45788</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45788</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45788</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45788</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45788</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45788</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45788</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45788</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45788</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45788</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45788</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45788</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45788</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45788</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45788</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45788</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45788</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45788</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45788</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45788</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45788</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45788</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45788</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45788</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45788</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45788</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45788</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45788</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45788</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45788</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45788</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45788</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45788</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45788</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45788</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45788</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45788</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45788</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45788</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45788</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45788</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45788</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45788</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45788</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45788</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45788</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45788</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45788</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45788</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45788</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45788</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45788</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45788</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45788</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45788</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45788</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45788</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45788</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45788</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45788</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45788</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45788</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45788</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45788</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45788</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45788</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45788</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45788</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45788</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45788</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45788</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45788</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45788</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45788</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45788</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45788</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45788</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45788</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45788</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45788</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45788</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45788</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45788</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45788</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45788</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45788</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45788</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45788</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45788</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45788</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45788</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45788</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45788</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45788</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45788</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45788</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45788</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45788</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45788</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45788</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45788</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45788</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45788</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45788</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45788</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45788</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45788</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45788</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45788</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45788</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45788</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45788</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45788</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45788</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45788</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45788</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45788</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45788</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45788</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45788</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45788</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45788</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45788</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45788</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45788</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45788</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45788</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45788</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45788</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45788</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45788</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45788</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45788</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45788</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45788</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45788</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45788</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45788</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45788</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45788</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45788</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45788</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45788</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45788</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45788</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45788</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45788</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45788</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45788</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45788</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45788</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45788</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45788</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45788</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45788</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45788</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45788</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45788</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45788</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45788</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45788</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45788</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45788</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45788</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45788</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45788</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45788</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45788</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45788</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45788</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45788</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45788</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45788</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45788</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45788</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45788</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45788</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45788</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45788</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45788</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45788</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45788</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45788</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45788</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45788</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45788</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45788</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45788</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45788</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45788</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45788</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45788</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45788</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45788</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45788</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45788</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45788</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45788</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45788</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45788</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45788</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45788</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45788</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45788</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45788</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45788</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45788</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45788</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45788</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45788</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45788</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45788</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45788</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45788</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45788</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45788</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45788</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45788</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45788</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45788</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45788</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45788</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45788</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45788</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45788</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45788</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45788</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45788</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45788</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45788</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45788</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45788</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45788</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45788</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45788</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45788</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45788</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45788</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45788</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45788</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45788</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45788</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45788</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45788</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45788</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45788</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45788</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45788</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45788</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45788</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45788</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45788</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45788</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45788</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45788</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45788</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45788</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45788</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45788</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45788</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45788</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45788</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45788</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45788</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45788</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45788</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45788</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45788</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45788</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45788</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45788</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45788</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45788</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45788</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45788</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45788</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45788</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45788</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45788</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45788</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45788</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45788</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45788</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45788</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45788</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45788</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45788</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45788</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45788</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45788</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45788</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45788</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45788</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45788</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45788</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45788</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45788</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45788</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45788</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45788</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45788</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45788</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45788</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45788</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45788</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45788</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45788</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45788</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45788</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45788</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45788</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45788</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45788</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45788</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45788</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45788</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45788</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45788</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45788</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45788</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45788</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45788</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45788</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45788</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45788</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45788</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45788</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45788</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45788</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45788</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45788</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45788</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45788</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45788</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45788</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45788</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45788</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45788</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45788</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45788</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45788</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45788</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45788</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45788</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45788</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45788</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45788</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45788</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45788</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45788</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45788</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45788</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45788</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45788</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45788</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45788</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45788</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45788</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45788</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45788</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45788</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45788</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45788</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45788</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45788</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45788</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45788</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45788</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45788</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45788</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45788</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45788</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45788</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45788</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45788</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45788</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45788</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45788</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45788</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45788</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45788</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45788</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45788</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45788</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45788</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45788</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45788</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45788</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45788</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45788</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45788</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45788</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45788</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45788</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45788</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45788</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45788</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45788</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45788</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45788</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45788</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45788</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45788</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45788</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45788</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45788</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45788</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45788</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45788</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45788</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45788</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45788</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45788</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45788</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45788</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45788</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45788</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45788</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45788</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45788</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45788</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45788</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45788</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45788</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45788</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45788</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45788</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45788</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45788</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45788</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45788</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45788</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45788</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45788</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45788</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45788</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45788</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45788</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45788</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45788</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45788</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45788</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45788</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45788</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45788</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45788</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45788</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45788</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45788</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45788</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45788</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45788</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45788</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45788</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45788</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45788</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45788</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45788</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45788</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45788</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45788</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45788</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45788</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45788</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45788</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45788</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45788</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45788</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45788</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45788</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45788</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45788</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45788</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45788</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45788</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45788</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45788</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45788</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45788</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45788</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45788</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45788</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45788</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45788</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45788</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45788</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45788</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45788</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45788</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45788</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45788</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45788</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45788</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45788</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45788</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45788</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45788</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45788</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45788</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45788</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45788</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45788</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45788</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45788</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45788</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45788</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45788</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45788</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45788</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45788</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45788</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45788</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45788</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45788</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45788</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45788</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45788</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45788</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45788</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45788</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45788</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45788</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45788</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45788</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45788</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45788</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45788</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45788</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45788</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45788</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45788</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45788</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45788</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45788</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45788</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45788</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45788</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45788</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45788</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45788</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45788</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45788</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45788</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45788</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45788</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45788</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45788</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45788</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45788</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45788</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45788</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45788</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45788</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45788</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45788</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45788</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45788</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45788</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45788</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45788</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45788</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45788</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45788</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45788</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45788</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45788</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45788</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45788</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45788</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45788</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45788</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45788</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45788</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45788</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45788</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45788</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45788</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45788</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45788</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45788</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45788</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45788</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45788</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45788</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45788</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45788</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45788</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45788</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45788</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45788</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45788</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45788</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45788</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45788</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45788</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45788</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45788</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45788</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45788</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45788</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45788</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45788</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45788</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45788</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45788</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45788</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45788</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45788</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45788</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45788</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45788</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45788</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45788</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45788</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45788</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45788</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45788</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45788</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45788</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45788</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45788</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45788</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45788</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45788</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45788</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45788</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45788</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45788</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45788</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45788</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45788</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45788</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45788</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45788</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45788</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45788</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45788</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45788</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45788</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45788</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45788</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45788</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45788</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45788</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45788</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45788</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45788</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45788</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45788</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45788</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45788</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45788</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45788</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45788</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45788</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45788</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45788</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45788</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45788</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45788</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45788</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45788</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45788</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45788</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45788</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45788</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45788</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45788</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45788</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45788</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45788</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45788</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45788</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45788</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45788</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45788</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45788</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45788</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45788</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45788</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45788</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45788</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45788</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45788</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45788</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45788</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45788</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45788</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45788</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45788</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45788</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45788</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45788</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45788</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45788</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45788</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45788</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45788</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45788</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45788</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45788</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45788</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45788</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45788</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45788</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45788</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45788</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45788</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45788</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45788</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45788</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45788</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45788</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45788</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45788</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45788</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45788</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45788</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45788</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45788</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45788</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45788</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45788</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45788</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45788</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45788</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45788</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45788</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45788</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45788</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45788</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45788</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45788</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45788</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45788</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45788</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45788</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45788</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45788</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45788</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45788</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45788</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45788</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45788</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45788</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45788</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45788</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45788</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45788</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45788</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45788</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45788</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45788</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45788</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45788</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45788</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45788</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45788</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45788</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45788</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45788</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45788</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45788</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45788</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45788</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45788</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45788</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45788</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45788</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45788</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45788</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45788</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45788</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45788</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45788</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45788</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45788</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45788</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45788</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45788</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45788</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45788</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45788</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45788</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45788</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45788</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45788</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45788</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45788</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45788</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45788</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45788</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45788</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45788</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45788</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45788</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45788</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45788</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45788</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45788</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45788</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45788</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45788</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45788</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45788</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45788</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45788</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45788</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45788</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45788</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45788</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45788</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45788</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45788</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45788</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45788</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45788</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45788</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45788</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45788</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45788</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45788</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45788</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45788</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45788</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45788</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45788</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45788</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45788</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45788</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45788</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45788</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45788</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45788</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45788</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45788</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45788</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45788</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45788</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45788</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45788</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45788</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45788</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45788</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45788</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45788</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45788</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45788</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45788</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45788</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45788</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45788</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45788</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45788</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45788</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45788</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45788</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45788</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45788</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45788</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45788</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45788</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45788</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45788</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45788</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45788</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45788</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45788</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45788</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45788</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45788</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45788</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45788</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45788</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45788</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45788</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45788</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45788</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45788</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45788</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45788</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45788</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45788</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45788</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45788</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45788</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45788</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45788</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45788</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45788</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45788</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45788</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45788</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45788</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45788</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45788</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45788</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45788</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45788</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45788</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45788</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45788</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45788</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45788</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45788</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45788</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45788</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45788</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45788</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45788</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45788</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45788</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45788</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45788</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45788</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45788</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45788</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45788</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45788</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45788</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45788</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45788</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45788</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45788</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45788</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45788</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45788</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45788</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45788</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45788</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45788</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45788</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45788</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45788</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45788</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45788</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45788</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45788</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45788</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45788</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45788</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45788</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45788</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45788</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45788</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45788</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45788</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45788</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45788</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45788</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45788</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45788</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45788</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45788</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45788</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45788</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45788</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45788</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45788</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45788</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45788</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45788</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45788</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45788</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45788</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45788</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45788</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45788</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45788</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45788</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45788</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45788</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45788</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45788</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45788</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45788</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45788</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45788</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45788</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45788</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45788</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45788</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45788</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45788</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45788</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45788</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45788</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45788</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45788</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45788</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45788</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45788</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45788</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45788</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45788</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45788</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45788</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45788</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45788</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45788</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45788</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45788</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45788</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45788</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45788</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45788</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45788</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45788</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45788</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45788</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45788</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45788</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45788</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45788</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45788</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45788</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45788</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45788</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45788</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45788</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45788</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45788</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45788</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45788</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45788</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45788</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45788</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45788</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45788</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45788</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45788</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45788</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45788</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45788</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45788</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45788</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45788</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45788</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45788</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45788</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45788</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45788</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45788</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45788</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45788</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45788</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45788</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45788</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45788</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45788</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45788</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45788</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45788</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45788</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45788</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45788</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45788</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45788</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45788</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45788</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45788</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45788</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45788</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45788</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45788</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45788</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45788</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45788</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45788</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45788</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45788</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45788</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45788</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45788</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45788</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45788</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45788</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45788</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45788</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45788</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45788</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45788</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45788</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45788</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45788</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45788</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45788</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45788</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45788</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45788</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45788</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45788</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45788</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45788</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45788</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45788</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45788</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45788</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45788</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45788</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45788</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45788</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45788</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45788</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45788</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45788</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45788</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45788</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45788</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45788</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45788</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45788</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45788</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45788</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45788</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45788</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45788</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45788</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45788</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45788</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45788</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45788</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45788</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45788</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45788</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45788</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45788</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45788</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45788</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45788</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45788</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45788</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45788</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45788</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45788</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45788</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45788</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45788</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45788</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45788</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45788</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45788</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45788</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45788</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45788</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45788</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45788</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45788</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45788</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45788</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45788</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45788</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45788</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45788</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45788</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45788</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45788</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45788</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45788</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45788</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45788</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45788</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45788</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45788</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45788</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45788</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45788</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45788</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45788</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45788</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45788</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45788</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45788</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45788</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45788</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45788</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45788</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45788</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45788</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45788</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45788</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45788</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45788</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45788</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45788</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45788</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45788</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45788</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45788</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45788</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45788</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45788</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45788</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45788</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45788</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45788</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45788</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45788</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45788</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45788</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45788</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45788</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45788</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45788</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45788</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45788</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45788</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45788</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45788</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45788</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45788</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45788</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45788</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45788</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45788</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45788</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45788</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45788</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45788</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45788</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45788</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45788</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45788</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45788</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45788</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45788</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45788</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45788</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45788</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45788</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45788</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45788</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45788</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45788</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45788</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45788</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45788</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45788</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45788</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45788</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45788</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45788</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45788</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45788</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45788</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45788</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45788</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45788</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45788</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45788</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45788</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45788</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45788</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45788</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45788</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45788</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45788</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45788</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45788</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45788</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45788</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45788</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45788</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45788</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45788</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45788</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45788</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45788</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45788</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45788</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45788</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45788</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45788</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45788</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45788</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45788</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45788</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45788</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45788</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45788</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45788</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45788</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45788</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45788</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45788</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45788</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45788</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45788</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45788</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45788</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45788</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45788</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45788</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45788</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45788</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45788</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45788</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45788</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45788</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45788</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45788</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45788</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45788</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45788</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45788</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45788</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45788</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45788</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45788</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45788</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45788</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45788</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45788</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45788</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45788</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45788</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45788</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45788</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45788</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45788</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45788</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45788</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45788</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45788</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45788</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45788</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45788</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45788</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45788</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45788</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45788</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45788</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45788</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45788</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45788</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45788</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45788</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45788</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45788</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45788</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45788</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45788</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45788</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45788</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45788</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45788</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45788</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45788</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45788</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45788</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45788</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45788</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45788</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45788</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45788</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45788</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45788</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45788</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45788</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45788</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45788</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45788</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45788</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45788</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45788</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45788</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45788</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45788</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45788</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45788</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45788</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45788</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45788</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45788</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45788</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45788</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45788</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45788</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45788</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45788</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45788</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45788</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45788</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45788</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45788</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45788</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45788</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45788</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45788</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45788</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45788</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45788</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45788</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45788</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45788</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45788</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45788</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45788</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45788</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45788</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45788</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45788</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45788</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45788</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45788</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45788</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45788</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45788</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45788</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45788</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45788</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45788</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45788</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45788</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45788</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45788</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45788</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45788</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45788</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45788</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45788</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45788</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45788</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45788</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45788</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45788</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45788</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45788</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45788</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45788</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45788</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45788</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45788</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45788</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45788</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45788</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45788</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45788</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45788</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45788</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45788</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45788</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45788</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45788</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45788</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45788</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45788</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45788</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45788</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45788</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45788</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45788</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45788</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45788</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45788</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45788</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45788</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45788</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45788</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45788</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45788</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45788</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45788</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45788</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45788</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45788</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45788</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45788</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45788</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45788</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45788</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45788</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45788</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45788</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45788</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45788</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45788</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45788</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45788</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45788</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45788</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45788</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45788</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45788</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45788</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45788</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45788</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45788</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45788</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45788</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45788</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45788</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45788</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45788</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45788</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45788</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45788</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45788</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45788</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45788</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45788</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45788</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45788</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45788</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45788</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45788</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45788</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45788</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45788</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45788</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45788</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45788</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45788</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45788</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45788</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45788</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45788</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45788</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45788</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45788</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45788</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45788</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17683-2025</t>
        </is>
      </c>
      <c r="B18930" s="1" t="n">
        <v>45758</v>
      </c>
      <c r="C18930" s="1" t="n">
        <v>45788</v>
      </c>
      <c r="D18930" t="inlineStr">
        <is>
          <t>VÄSTERBOTTENS LÄN</t>
        </is>
      </c>
      <c r="E18930" t="inlineStr">
        <is>
          <t>ÅSELE</t>
        </is>
      </c>
      <c r="F18930" t="inlineStr">
        <is>
          <t>SCA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17805-2025</t>
        </is>
      </c>
      <c r="B18931" s="1" t="n">
        <v>45758</v>
      </c>
      <c r="C18931" s="1" t="n">
        <v>45788</v>
      </c>
      <c r="D18931" t="inlineStr">
        <is>
          <t>VÄSTERBOTTENS LÄN</t>
        </is>
      </c>
      <c r="E18931" t="inlineStr">
        <is>
          <t>ÅSELE</t>
        </is>
      </c>
      <c r="F18931" t="inlineStr">
        <is>
          <t>SCA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17845-2025</t>
        </is>
      </c>
      <c r="B18932" s="1" t="n">
        <v>45758</v>
      </c>
      <c r="C18932" s="1" t="n">
        <v>45788</v>
      </c>
      <c r="D18932" t="inlineStr">
        <is>
          <t>VÄSTERBOTTENS LÄN</t>
        </is>
      </c>
      <c r="E18932" t="inlineStr">
        <is>
          <t>VINDELN</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17863-2025</t>
        </is>
      </c>
      <c r="B18933" s="1" t="n">
        <v>45758</v>
      </c>
      <c r="C18933" s="1" t="n">
        <v>45788</v>
      </c>
      <c r="D18933" t="inlineStr">
        <is>
          <t>VÄSTERBOTTENS LÄN</t>
        </is>
      </c>
      <c r="E18933" t="inlineStr">
        <is>
          <t>SORSELE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17688-2025</t>
        </is>
      </c>
      <c r="B18934" s="1" t="n">
        <v>45758</v>
      </c>
      <c r="C18934" s="1" t="n">
        <v>45788</v>
      </c>
      <c r="D18934" t="inlineStr">
        <is>
          <t>VÄSTERBOTTENS LÄN</t>
        </is>
      </c>
      <c r="E18934" t="inlineStr">
        <is>
          <t>LYCKSELE</t>
        </is>
      </c>
      <c r="F18934" t="inlineStr">
        <is>
          <t>Sveaskog</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17893-2025</t>
        </is>
      </c>
      <c r="B18935" s="1" t="n">
        <v>45758</v>
      </c>
      <c r="C18935" s="1" t="n">
        <v>45788</v>
      </c>
      <c r="D18935" t="inlineStr">
        <is>
          <t>VÄSTERBOTTENS LÄN</t>
        </is>
      </c>
      <c r="E18935" t="inlineStr">
        <is>
          <t>ROBERTSFORS</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17842-2025</t>
        </is>
      </c>
      <c r="B18936" s="1" t="n">
        <v>45758</v>
      </c>
      <c r="C18936" s="1" t="n">
        <v>45788</v>
      </c>
      <c r="D18936" t="inlineStr">
        <is>
          <t>VÄSTERBOTTENS LÄN</t>
        </is>
      </c>
      <c r="E18936" t="inlineStr">
        <is>
          <t>ÅSELE</t>
        </is>
      </c>
      <c r="F18936" t="inlineStr">
        <is>
          <t>SCA</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45788</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18174-2025</t>
        </is>
      </c>
      <c r="B18938" s="1" t="n">
        <v>45761</v>
      </c>
      <c r="C18938" s="1" t="n">
        <v>45788</v>
      </c>
      <c r="D18938" t="inlineStr">
        <is>
          <t>VÄSTERBOTTENS LÄN</t>
        </is>
      </c>
      <c r="E18938" t="inlineStr">
        <is>
          <t>VINDELN</t>
        </is>
      </c>
      <c r="F18938" t="inlineStr">
        <is>
          <t>Holmen skog AB</t>
        </is>
      </c>
      <c r="G18938" t="n">
        <v>11.3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18010-2025</t>
        </is>
      </c>
      <c r="B18939" s="1" t="n">
        <v>45761</v>
      </c>
      <c r="C18939" s="1" t="n">
        <v>45788</v>
      </c>
      <c r="D18939" t="inlineStr">
        <is>
          <t>VÄSTERBOTTENS LÄN</t>
        </is>
      </c>
      <c r="E18939" t="inlineStr">
        <is>
          <t>UMEÅ</t>
        </is>
      </c>
      <c r="F18939" t="inlineStr">
        <is>
          <t>Holmen skog AB</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18168-2025</t>
        </is>
      </c>
      <c r="B18940" s="1" t="n">
        <v>45761</v>
      </c>
      <c r="C18940" s="1" t="n">
        <v>45788</v>
      </c>
      <c r="D18940" t="inlineStr">
        <is>
          <t>VÄSTERBOTTENS LÄN</t>
        </is>
      </c>
      <c r="E18940" t="inlineStr">
        <is>
          <t>ROBERTSFORS</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18023-2025</t>
        </is>
      </c>
      <c r="B18941" s="1" t="n">
        <v>45761</v>
      </c>
      <c r="C18941" s="1" t="n">
        <v>45788</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18026-2025</t>
        </is>
      </c>
      <c r="B18942" s="1" t="n">
        <v>45761</v>
      </c>
      <c r="C18942" s="1" t="n">
        <v>45788</v>
      </c>
      <c r="D18942" t="inlineStr">
        <is>
          <t>VÄSTERBOTTENS LÄN</t>
        </is>
      </c>
      <c r="E18942" t="inlineStr">
        <is>
          <t>UMEÅ</t>
        </is>
      </c>
      <c r="G18942" t="n">
        <v>6.3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18098-2025</t>
        </is>
      </c>
      <c r="B18943" s="1" t="n">
        <v>45761</v>
      </c>
      <c r="C18943" s="1" t="n">
        <v>45788</v>
      </c>
      <c r="D18943" t="inlineStr">
        <is>
          <t>VÄSTERBOTTENS LÄN</t>
        </is>
      </c>
      <c r="E18943" t="inlineStr">
        <is>
          <t>SKELLEFTEÅ</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18108-2025</t>
        </is>
      </c>
      <c r="B18944" s="1" t="n">
        <v>45761</v>
      </c>
      <c r="C18944" s="1" t="n">
        <v>45788</v>
      </c>
      <c r="D18944" t="inlineStr">
        <is>
          <t>VÄSTERBOTTENS LÄN</t>
        </is>
      </c>
      <c r="E18944" t="inlineStr">
        <is>
          <t>UMEÅ</t>
        </is>
      </c>
      <c r="F18944" t="inlineStr">
        <is>
          <t>Holmen skog AB</t>
        </is>
      </c>
      <c r="G18944" t="n">
        <v>3.5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18033-2025</t>
        </is>
      </c>
      <c r="B18945" s="1" t="n">
        <v>45761</v>
      </c>
      <c r="C18945" s="1" t="n">
        <v>45788</v>
      </c>
      <c r="D18945" t="inlineStr">
        <is>
          <t>VÄSTERBOTTENS LÄN</t>
        </is>
      </c>
      <c r="E18945" t="inlineStr">
        <is>
          <t>SKELLEFTEÅ</t>
        </is>
      </c>
      <c r="G18945" t="n">
        <v>0.5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18082-2025</t>
        </is>
      </c>
      <c r="B18946" s="1" t="n">
        <v>45761</v>
      </c>
      <c r="C18946" s="1" t="n">
        <v>45788</v>
      </c>
      <c r="D18946" t="inlineStr">
        <is>
          <t>VÄSTERBOTTENS LÄN</t>
        </is>
      </c>
      <c r="E18946" t="inlineStr">
        <is>
          <t>SKELLEFTEÅ</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18030-2025</t>
        </is>
      </c>
      <c r="B18947" s="1" t="n">
        <v>45761</v>
      </c>
      <c r="C18947" s="1" t="n">
        <v>45788</v>
      </c>
      <c r="D18947" t="inlineStr">
        <is>
          <t>VÄSTERBOTTENS LÄN</t>
        </is>
      </c>
      <c r="E18947" t="inlineStr">
        <is>
          <t>SKELLEFTEÅ</t>
        </is>
      </c>
      <c r="G18947" t="n">
        <v>1.3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17971-2025</t>
        </is>
      </c>
      <c r="B18948" s="1" t="n">
        <v>45761</v>
      </c>
      <c r="C18948" s="1" t="n">
        <v>45788</v>
      </c>
      <c r="D18948" t="inlineStr">
        <is>
          <t>VÄSTERBOTTENS LÄN</t>
        </is>
      </c>
      <c r="E18948" t="inlineStr">
        <is>
          <t>STORUMAN</t>
        </is>
      </c>
      <c r="F18948" t="inlineStr">
        <is>
          <t>Allmännings- och besparingsskogar</t>
        </is>
      </c>
      <c r="G18948" t="n">
        <v>0.2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17961-2025</t>
        </is>
      </c>
      <c r="B18949" s="1" t="n">
        <v>45761</v>
      </c>
      <c r="C18949" s="1" t="n">
        <v>45788</v>
      </c>
      <c r="D18949" t="inlineStr">
        <is>
          <t>VÄSTERBOTTENS LÄN</t>
        </is>
      </c>
      <c r="E18949" t="inlineStr">
        <is>
          <t>SKELLEFTEÅ</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18167-2025</t>
        </is>
      </c>
      <c r="B18950" s="1" t="n">
        <v>45761</v>
      </c>
      <c r="C18950" s="1" t="n">
        <v>45788</v>
      </c>
      <c r="D18950" t="inlineStr">
        <is>
          <t>VÄSTERBOTTENS LÄN</t>
        </is>
      </c>
      <c r="E18950" t="inlineStr">
        <is>
          <t>SKELLEFTEÅ</t>
        </is>
      </c>
      <c r="G18950" t="n">
        <v>0.8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17982-2025</t>
        </is>
      </c>
      <c r="B18951" s="1" t="n">
        <v>45761</v>
      </c>
      <c r="C18951" s="1" t="n">
        <v>45788</v>
      </c>
      <c r="D18951" t="inlineStr">
        <is>
          <t>VÄSTERBOTTENS LÄN</t>
        </is>
      </c>
      <c r="E18951" t="inlineStr">
        <is>
          <t>LYCKSELE</t>
        </is>
      </c>
      <c r="G18951" t="n">
        <v>4.8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45788</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18031-2025</t>
        </is>
      </c>
      <c r="B18953" s="1" t="n">
        <v>45761</v>
      </c>
      <c r="C18953" s="1" t="n">
        <v>45788</v>
      </c>
      <c r="D18953" t="inlineStr">
        <is>
          <t>VÄSTERBOTTENS LÄN</t>
        </is>
      </c>
      <c r="E18953" t="inlineStr">
        <is>
          <t>ÅSELE</t>
        </is>
      </c>
      <c r="G18953" t="n">
        <v>7.6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18034-2025</t>
        </is>
      </c>
      <c r="B18954" s="1" t="n">
        <v>45761</v>
      </c>
      <c r="C18954" s="1" t="n">
        <v>45788</v>
      </c>
      <c r="D18954" t="inlineStr">
        <is>
          <t>VÄSTERBOTTENS LÄN</t>
        </is>
      </c>
      <c r="E18954" t="inlineStr">
        <is>
          <t>ÅSELE</t>
        </is>
      </c>
      <c r="G18954" t="n">
        <v>6.7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18064-2025</t>
        </is>
      </c>
      <c r="B18955" s="1" t="n">
        <v>45761</v>
      </c>
      <c r="C18955" s="1" t="n">
        <v>45788</v>
      </c>
      <c r="D18955" t="inlineStr">
        <is>
          <t>VÄSTERBOTTENS LÄN</t>
        </is>
      </c>
      <c r="E18955" t="inlineStr">
        <is>
          <t>SKELLEFTEÅ</t>
        </is>
      </c>
      <c r="G18955" t="n">
        <v>0.6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18380-2025</t>
        </is>
      </c>
      <c r="B18956" s="1" t="n">
        <v>45762</v>
      </c>
      <c r="C18956" s="1" t="n">
        <v>45788</v>
      </c>
      <c r="D18956" t="inlineStr">
        <is>
          <t>VÄSTERBOTTENS LÄN</t>
        </is>
      </c>
      <c r="E18956" t="inlineStr">
        <is>
          <t>VÄNNÄS</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18275-2025</t>
        </is>
      </c>
      <c r="B18957" s="1" t="n">
        <v>45762</v>
      </c>
      <c r="C18957" s="1" t="n">
        <v>45788</v>
      </c>
      <c r="D18957" t="inlineStr">
        <is>
          <t>VÄSTERBOTTENS LÄN</t>
        </is>
      </c>
      <c r="E18957" t="inlineStr">
        <is>
          <t>VINDELN</t>
        </is>
      </c>
      <c r="F18957" t="inlineStr">
        <is>
          <t>Holmen skog AB</t>
        </is>
      </c>
      <c r="G18957" t="n">
        <v>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18396-2025</t>
        </is>
      </c>
      <c r="B18958" s="1" t="n">
        <v>45762</v>
      </c>
      <c r="C18958" s="1" t="n">
        <v>45788</v>
      </c>
      <c r="D18958" t="inlineStr">
        <is>
          <t>VÄSTERBOTTENS LÄN</t>
        </is>
      </c>
      <c r="E18958" t="inlineStr">
        <is>
          <t>VILHELMINA</t>
        </is>
      </c>
      <c r="F18958" t="inlineStr">
        <is>
          <t>SCA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18326-2025</t>
        </is>
      </c>
      <c r="B18959" s="1" t="n">
        <v>45762</v>
      </c>
      <c r="C18959" s="1" t="n">
        <v>45788</v>
      </c>
      <c r="D18959" t="inlineStr">
        <is>
          <t>VÄSTERBOTTENS LÄN</t>
        </is>
      </c>
      <c r="E18959" t="inlineStr">
        <is>
          <t>SKELLEFTEÅ</t>
        </is>
      </c>
      <c r="G18959" t="n">
        <v>3.1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18287-2025</t>
        </is>
      </c>
      <c r="B18960" s="1" t="n">
        <v>45762</v>
      </c>
      <c r="C18960" s="1" t="n">
        <v>45788</v>
      </c>
      <c r="D18960" t="inlineStr">
        <is>
          <t>VÄSTERBOTTENS LÄN</t>
        </is>
      </c>
      <c r="E18960" t="inlineStr">
        <is>
          <t>DOROTEA</t>
        </is>
      </c>
      <c r="F18960" t="inlineStr">
        <is>
          <t>SCA</t>
        </is>
      </c>
      <c r="G18960" t="n">
        <v>7.1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18377-2025</t>
        </is>
      </c>
      <c r="B18961" s="1" t="n">
        <v>45762</v>
      </c>
      <c r="C18961" s="1" t="n">
        <v>45788</v>
      </c>
      <c r="D18961" t="inlineStr">
        <is>
          <t>VÄSTERBOTTENS LÄN</t>
        </is>
      </c>
      <c r="E18961" t="inlineStr">
        <is>
          <t>VÄNNÄS</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18398-2025</t>
        </is>
      </c>
      <c r="B18962" s="1" t="n">
        <v>45762</v>
      </c>
      <c r="C18962" s="1" t="n">
        <v>45788</v>
      </c>
      <c r="D18962" t="inlineStr">
        <is>
          <t>VÄSTERBOTTENS LÄN</t>
        </is>
      </c>
      <c r="E18962" t="inlineStr">
        <is>
          <t>VILHELMINA</t>
        </is>
      </c>
      <c r="F18962" t="inlineStr">
        <is>
          <t>SCA</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18443-2025</t>
        </is>
      </c>
      <c r="B18963" s="1" t="n">
        <v>45762</v>
      </c>
      <c r="C18963" s="1" t="n">
        <v>45788</v>
      </c>
      <c r="D18963" t="inlineStr">
        <is>
          <t>VÄSTERBOTTENS LÄN</t>
        </is>
      </c>
      <c r="E18963" t="inlineStr">
        <is>
          <t>SKELLEFTEÅ</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18262-2025</t>
        </is>
      </c>
      <c r="B18964" s="1" t="n">
        <v>45762</v>
      </c>
      <c r="C18964" s="1" t="n">
        <v>45788</v>
      </c>
      <c r="D18964" t="inlineStr">
        <is>
          <t>VÄSTERBOTTENS LÄN</t>
        </is>
      </c>
      <c r="E18964" t="inlineStr">
        <is>
          <t>LYCKSELE</t>
        </is>
      </c>
      <c r="F18964" t="inlineStr">
        <is>
          <t>SCA</t>
        </is>
      </c>
      <c r="G18964" t="n">
        <v>5.6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18291-2025</t>
        </is>
      </c>
      <c r="B18965" s="1" t="n">
        <v>45762</v>
      </c>
      <c r="C18965" s="1" t="n">
        <v>45788</v>
      </c>
      <c r="D18965" t="inlineStr">
        <is>
          <t>VÄSTERBOTTENS LÄN</t>
        </is>
      </c>
      <c r="E18965" t="inlineStr">
        <is>
          <t>SKELLEFTEÅ</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18240-2025</t>
        </is>
      </c>
      <c r="B18966" s="1" t="n">
        <v>45762</v>
      </c>
      <c r="C18966" s="1" t="n">
        <v>45788</v>
      </c>
      <c r="D18966" t="inlineStr">
        <is>
          <t>VÄSTERBOTTENS LÄN</t>
        </is>
      </c>
      <c r="E18966" t="inlineStr">
        <is>
          <t>SKELLEFTEÅ</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18317-2025</t>
        </is>
      </c>
      <c r="B18967" s="1" t="n">
        <v>45762</v>
      </c>
      <c r="C18967" s="1" t="n">
        <v>45788</v>
      </c>
      <c r="D18967" t="inlineStr">
        <is>
          <t>VÄSTERBOTTENS LÄN</t>
        </is>
      </c>
      <c r="E18967" t="inlineStr">
        <is>
          <t>ÅSELE</t>
        </is>
      </c>
      <c r="G18967" t="n">
        <v>1.1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18339-2025</t>
        </is>
      </c>
      <c r="B18968" s="1" t="n">
        <v>45762</v>
      </c>
      <c r="C18968" s="1" t="n">
        <v>45788</v>
      </c>
      <c r="D18968" t="inlineStr">
        <is>
          <t>VÄSTERBOTTENS LÄN</t>
        </is>
      </c>
      <c r="E18968" t="inlineStr">
        <is>
          <t>LYCKSELE</t>
        </is>
      </c>
      <c r="F18968" t="inlineStr">
        <is>
          <t>Naturvårdsverket</t>
        </is>
      </c>
      <c r="G18968" t="n">
        <v>13.4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18301-2025</t>
        </is>
      </c>
      <c r="B18969" s="1" t="n">
        <v>45762</v>
      </c>
      <c r="C18969" s="1" t="n">
        <v>45788</v>
      </c>
      <c r="D18969" t="inlineStr">
        <is>
          <t>VÄSTERBOTTENS LÄN</t>
        </is>
      </c>
      <c r="E18969" t="inlineStr">
        <is>
          <t>ÅSELE</t>
        </is>
      </c>
      <c r="G18969" t="n">
        <v>7.1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18307-2025</t>
        </is>
      </c>
      <c r="B18970" s="1" t="n">
        <v>45762</v>
      </c>
      <c r="C18970" s="1" t="n">
        <v>45788</v>
      </c>
      <c r="D18970" t="inlineStr">
        <is>
          <t>VÄSTERBOTTENS LÄN</t>
        </is>
      </c>
      <c r="E18970" t="inlineStr">
        <is>
          <t>ÅSELE</t>
        </is>
      </c>
      <c r="G18970" t="n">
        <v>13.3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18394-2025</t>
        </is>
      </c>
      <c r="B18971" s="1" t="n">
        <v>45762</v>
      </c>
      <c r="C18971" s="1" t="n">
        <v>45788</v>
      </c>
      <c r="D18971" t="inlineStr">
        <is>
          <t>VÄSTERBOTTENS LÄN</t>
        </is>
      </c>
      <c r="E18971" t="inlineStr">
        <is>
          <t>VILHELMINA</t>
        </is>
      </c>
      <c r="F18971" t="inlineStr">
        <is>
          <t>SCA</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18441-2025</t>
        </is>
      </c>
      <c r="B18972" s="1" t="n">
        <v>45762</v>
      </c>
      <c r="C18972" s="1" t="n">
        <v>45788</v>
      </c>
      <c r="D18972" t="inlineStr">
        <is>
          <t>VÄSTERBOTTENS LÄN</t>
        </is>
      </c>
      <c r="E18972" t="inlineStr">
        <is>
          <t>SKELLEFTEÅ</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18397-2025</t>
        </is>
      </c>
      <c r="B18973" s="1" t="n">
        <v>45762</v>
      </c>
      <c r="C18973" s="1" t="n">
        <v>45788</v>
      </c>
      <c r="D18973" t="inlineStr">
        <is>
          <t>VÄSTERBOTTENS LÄN</t>
        </is>
      </c>
      <c r="E18973" t="inlineStr">
        <is>
          <t>VILHELMINA</t>
        </is>
      </c>
      <c r="F18973" t="inlineStr">
        <is>
          <t>SCA</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18700-2025</t>
        </is>
      </c>
      <c r="B18974" s="1" t="n">
        <v>45763</v>
      </c>
      <c r="C18974" s="1" t="n">
        <v>45788</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18649-2025</t>
        </is>
      </c>
      <c r="B18975" s="1" t="n">
        <v>45763</v>
      </c>
      <c r="C18975" s="1" t="n">
        <v>45788</v>
      </c>
      <c r="D18975" t="inlineStr">
        <is>
          <t>VÄSTERBOTTENS LÄN</t>
        </is>
      </c>
      <c r="E18975" t="inlineStr">
        <is>
          <t>NORDMALING</t>
        </is>
      </c>
      <c r="F18975" t="inlineStr">
        <is>
          <t>SCA</t>
        </is>
      </c>
      <c r="G18975" t="n">
        <v>3.5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18497-2025</t>
        </is>
      </c>
      <c r="B18976" s="1" t="n">
        <v>45763</v>
      </c>
      <c r="C18976" s="1" t="n">
        <v>45788</v>
      </c>
      <c r="D18976" t="inlineStr">
        <is>
          <t>VÄSTERBOTTENS LÄN</t>
        </is>
      </c>
      <c r="E18976" t="inlineStr">
        <is>
          <t>SKELLEFTEÅ</t>
        </is>
      </c>
      <c r="G18976" t="n">
        <v>4.8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18567-2025</t>
        </is>
      </c>
      <c r="B18977" s="1" t="n">
        <v>45763</v>
      </c>
      <c r="C18977" s="1" t="n">
        <v>45788</v>
      </c>
      <c r="D18977" t="inlineStr">
        <is>
          <t>VÄSTERBOTTENS LÄN</t>
        </is>
      </c>
      <c r="E18977" t="inlineStr">
        <is>
          <t>VINDELN</t>
        </is>
      </c>
      <c r="F18977" t="inlineStr">
        <is>
          <t>Holmen skog AB</t>
        </is>
      </c>
      <c r="G18977" t="n">
        <v>7.4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18594-2025</t>
        </is>
      </c>
      <c r="B18978" s="1" t="n">
        <v>45763</v>
      </c>
      <c r="C18978" s="1" t="n">
        <v>45788</v>
      </c>
      <c r="D18978" t="inlineStr">
        <is>
          <t>VÄSTERBOTTENS LÄN</t>
        </is>
      </c>
      <c r="E18978" t="inlineStr">
        <is>
          <t>LYCKSELE</t>
        </is>
      </c>
      <c r="F18978" t="inlineStr">
        <is>
          <t>Holmen skog AB</t>
        </is>
      </c>
      <c r="G18978" t="n">
        <v>6.2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18674-2025</t>
        </is>
      </c>
      <c r="B18979" s="1" t="n">
        <v>45763</v>
      </c>
      <c r="C18979" s="1" t="n">
        <v>45788</v>
      </c>
      <c r="D18979" t="inlineStr">
        <is>
          <t>VÄSTERBOTTENS LÄN</t>
        </is>
      </c>
      <c r="E18979" t="inlineStr">
        <is>
          <t>LYCKSELE</t>
        </is>
      </c>
      <c r="F18979" t="inlineStr">
        <is>
          <t>Holmen skog AB</t>
        </is>
      </c>
      <c r="G18979" t="n">
        <v>7.9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18709-2025</t>
        </is>
      </c>
      <c r="B18980" s="1" t="n">
        <v>45763</v>
      </c>
      <c r="C18980" s="1" t="n">
        <v>45788</v>
      </c>
      <c r="D18980" t="inlineStr">
        <is>
          <t>VÄSTERBOTTENS LÄN</t>
        </is>
      </c>
      <c r="E18980" t="inlineStr">
        <is>
          <t>LYCKSELE</t>
        </is>
      </c>
      <c r="F18980" t="inlineStr">
        <is>
          <t>Naturvårdsverket</t>
        </is>
      </c>
      <c r="G18980" t="n">
        <v>6.8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18720-2025</t>
        </is>
      </c>
      <c r="B18981" s="1" t="n">
        <v>45763</v>
      </c>
      <c r="C18981" s="1" t="n">
        <v>45788</v>
      </c>
      <c r="D18981" t="inlineStr">
        <is>
          <t>VÄSTERBOTTENS LÄN</t>
        </is>
      </c>
      <c r="E18981" t="inlineStr">
        <is>
          <t>UMEÅ</t>
        </is>
      </c>
      <c r="G18981" t="n">
        <v>2.2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18705-2025</t>
        </is>
      </c>
      <c r="B18982" s="1" t="n">
        <v>45763</v>
      </c>
      <c r="C18982" s="1" t="n">
        <v>45788</v>
      </c>
      <c r="D18982" t="inlineStr">
        <is>
          <t>VÄSTERBOTTENS LÄN</t>
        </is>
      </c>
      <c r="E18982" t="inlineStr">
        <is>
          <t>LYCKSELE</t>
        </is>
      </c>
      <c r="F18982" t="inlineStr">
        <is>
          <t>Holmen skog AB</t>
        </is>
      </c>
      <c r="G18982" t="n">
        <v>13.6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18498-2025</t>
        </is>
      </c>
      <c r="B18983" s="1" t="n">
        <v>45763</v>
      </c>
      <c r="C18983" s="1" t="n">
        <v>45788</v>
      </c>
      <c r="D18983" t="inlineStr">
        <is>
          <t>VÄSTERBOTTENS LÄN</t>
        </is>
      </c>
      <c r="E18983" t="inlineStr">
        <is>
          <t>SKELLEFTEÅ</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18632-2025</t>
        </is>
      </c>
      <c r="B18984" s="1" t="n">
        <v>45763</v>
      </c>
      <c r="C18984" s="1" t="n">
        <v>45788</v>
      </c>
      <c r="D18984" t="inlineStr">
        <is>
          <t>VÄSTERBOTTENS LÄN</t>
        </is>
      </c>
      <c r="E18984" t="inlineStr">
        <is>
          <t>LYCKSELE</t>
        </is>
      </c>
      <c r="F18984" t="inlineStr">
        <is>
          <t>Naturvårdsverket</t>
        </is>
      </c>
      <c r="G18984" t="n">
        <v>11.5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18666-2025</t>
        </is>
      </c>
      <c r="B18985" s="1" t="n">
        <v>45763</v>
      </c>
      <c r="C18985" s="1" t="n">
        <v>45788</v>
      </c>
      <c r="D18985" t="inlineStr">
        <is>
          <t>VÄSTERBOTTENS LÄN</t>
        </is>
      </c>
      <c r="E18985" t="inlineStr">
        <is>
          <t>NORSJÖ</t>
        </is>
      </c>
      <c r="G18985" t="n">
        <v>0.7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18667-2025</t>
        </is>
      </c>
      <c r="B18986" s="1" t="n">
        <v>45763</v>
      </c>
      <c r="C18986" s="1" t="n">
        <v>45788</v>
      </c>
      <c r="D18986" t="inlineStr">
        <is>
          <t>VÄSTERBOTTENS LÄN</t>
        </is>
      </c>
      <c r="E18986" t="inlineStr">
        <is>
          <t>NORSJÖ</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18668-2025</t>
        </is>
      </c>
      <c r="B18987" s="1" t="n">
        <v>45763</v>
      </c>
      <c r="C18987" s="1" t="n">
        <v>45788</v>
      </c>
      <c r="D18987" t="inlineStr">
        <is>
          <t>VÄSTERBOTTENS LÄN</t>
        </is>
      </c>
      <c r="E18987" t="inlineStr">
        <is>
          <t>NORSJÖ</t>
        </is>
      </c>
      <c r="G18987" t="n">
        <v>0.5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18489-2025</t>
        </is>
      </c>
      <c r="B18988" s="1" t="n">
        <v>45763</v>
      </c>
      <c r="C18988" s="1" t="n">
        <v>45788</v>
      </c>
      <c r="D18988" t="inlineStr">
        <is>
          <t>VÄSTERBOTTENS LÄN</t>
        </is>
      </c>
      <c r="E18988" t="inlineStr">
        <is>
          <t>VINDELN</t>
        </is>
      </c>
      <c r="F18988" t="inlineStr">
        <is>
          <t>Holmen skog AB</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18637-2025</t>
        </is>
      </c>
      <c r="B18989" s="1" t="n">
        <v>45763</v>
      </c>
      <c r="C18989" s="1" t="n">
        <v>45788</v>
      </c>
      <c r="D18989" t="inlineStr">
        <is>
          <t>VÄSTERBOTTENS LÄN</t>
        </is>
      </c>
      <c r="E18989" t="inlineStr">
        <is>
          <t>SKELLEFTEÅ</t>
        </is>
      </c>
      <c r="G18989" t="n">
        <v>8.300000000000001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18568-2025</t>
        </is>
      </c>
      <c r="B18990" s="1" t="n">
        <v>45763</v>
      </c>
      <c r="C18990" s="1" t="n">
        <v>45788</v>
      </c>
      <c r="D18990" t="inlineStr">
        <is>
          <t>VÄSTERBOTTENS LÄN</t>
        </is>
      </c>
      <c r="E18990" t="inlineStr">
        <is>
          <t>NORDMALING</t>
        </is>
      </c>
      <c r="G18990" t="n">
        <v>1.4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18598-2025</t>
        </is>
      </c>
      <c r="B18991" s="1" t="n">
        <v>45763</v>
      </c>
      <c r="C18991" s="1" t="n">
        <v>45788</v>
      </c>
      <c r="D18991" t="inlineStr">
        <is>
          <t>VÄSTERBOTTENS LÄN</t>
        </is>
      </c>
      <c r="E18991" t="inlineStr">
        <is>
          <t>VINDELN</t>
        </is>
      </c>
      <c r="F18991" t="inlineStr">
        <is>
          <t>Naturvårdsverket</t>
        </is>
      </c>
      <c r="G18991" t="n">
        <v>4.6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18688-2025</t>
        </is>
      </c>
      <c r="B18992" s="1" t="n">
        <v>45763</v>
      </c>
      <c r="C18992" s="1" t="n">
        <v>45788</v>
      </c>
      <c r="D18992" t="inlineStr">
        <is>
          <t>VÄSTERBOTTENS LÄN</t>
        </is>
      </c>
      <c r="E18992" t="inlineStr">
        <is>
          <t>LYCKSELE</t>
        </is>
      </c>
      <c r="G18992" t="n">
        <v>9.9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18693-2025</t>
        </is>
      </c>
      <c r="B18993" s="1" t="n">
        <v>45763</v>
      </c>
      <c r="C18993" s="1" t="n">
        <v>45788</v>
      </c>
      <c r="D18993" t="inlineStr">
        <is>
          <t>VÄSTERBOTTENS LÄN</t>
        </is>
      </c>
      <c r="E18993" t="inlineStr">
        <is>
          <t>ÅSELE</t>
        </is>
      </c>
      <c r="F18993" t="inlineStr">
        <is>
          <t>SCA</t>
        </is>
      </c>
      <c r="G18993" t="n">
        <v>10.3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18482-2025</t>
        </is>
      </c>
      <c r="B18994" s="1" t="n">
        <v>45763</v>
      </c>
      <c r="C18994" s="1" t="n">
        <v>45788</v>
      </c>
      <c r="D18994" t="inlineStr">
        <is>
          <t>VÄSTERBOTTENS LÄN</t>
        </is>
      </c>
      <c r="E18994" t="inlineStr">
        <is>
          <t>VINDELN</t>
        </is>
      </c>
      <c r="F18994" t="inlineStr">
        <is>
          <t>Holmen skog AB</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18670-2025</t>
        </is>
      </c>
      <c r="B18995" s="1" t="n">
        <v>45763</v>
      </c>
      <c r="C18995" s="1" t="n">
        <v>45788</v>
      </c>
      <c r="D18995" t="inlineStr">
        <is>
          <t>VÄSTERBOTTENS LÄN</t>
        </is>
      </c>
      <c r="E18995" t="inlineStr">
        <is>
          <t>NORSJÖ</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18566-2025</t>
        </is>
      </c>
      <c r="B18996" s="1" t="n">
        <v>45763</v>
      </c>
      <c r="C18996" s="1" t="n">
        <v>45788</v>
      </c>
      <c r="D18996" t="inlineStr">
        <is>
          <t>VÄSTERBOTTENS LÄN</t>
        </is>
      </c>
      <c r="E18996" t="inlineStr">
        <is>
          <t>LYCKSELE</t>
        </is>
      </c>
      <c r="F18996" t="inlineStr">
        <is>
          <t>Holmen skog AB</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45788</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18929-2025</t>
        </is>
      </c>
      <c r="B18998" s="1" t="n">
        <v>45764</v>
      </c>
      <c r="C18998" s="1" t="n">
        <v>45788</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19020-2025</t>
        </is>
      </c>
      <c r="B18999" s="1" t="n">
        <v>45764</v>
      </c>
      <c r="C18999" s="1" t="n">
        <v>45788</v>
      </c>
      <c r="D18999" t="inlineStr">
        <is>
          <t>VÄSTERBOTTENS LÄN</t>
        </is>
      </c>
      <c r="E18999" t="inlineStr">
        <is>
          <t>DOROTEA</t>
        </is>
      </c>
      <c r="F18999" t="inlineStr">
        <is>
          <t>SCA</t>
        </is>
      </c>
      <c r="G18999" t="n">
        <v>3.4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18762-2025</t>
        </is>
      </c>
      <c r="B19000" s="1" t="n">
        <v>45764</v>
      </c>
      <c r="C19000" s="1" t="n">
        <v>45788</v>
      </c>
      <c r="D19000" t="inlineStr">
        <is>
          <t>VÄSTERBOTTENS LÄN</t>
        </is>
      </c>
      <c r="E19000" t="inlineStr">
        <is>
          <t>SKELLEFTEÅ</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18848-2025</t>
        </is>
      </c>
      <c r="B19001" s="1" t="n">
        <v>45764</v>
      </c>
      <c r="C19001" s="1" t="n">
        <v>45788</v>
      </c>
      <c r="D19001" t="inlineStr">
        <is>
          <t>VÄSTERBOTTENS LÄN</t>
        </is>
      </c>
      <c r="E19001" t="inlineStr">
        <is>
          <t>VILHELMINA</t>
        </is>
      </c>
      <c r="G19001" t="n">
        <v>16.4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18873-2025</t>
        </is>
      </c>
      <c r="B19002" s="1" t="n">
        <v>45764</v>
      </c>
      <c r="C19002" s="1" t="n">
        <v>45788</v>
      </c>
      <c r="D19002" t="inlineStr">
        <is>
          <t>VÄSTERBOTTENS LÄN</t>
        </is>
      </c>
      <c r="E19002" t="inlineStr">
        <is>
          <t>VILHELMINA</t>
        </is>
      </c>
      <c r="G19002" t="n">
        <v>7.2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18796-2025</t>
        </is>
      </c>
      <c r="B19003" s="1" t="n">
        <v>45764</v>
      </c>
      <c r="C19003" s="1" t="n">
        <v>45788</v>
      </c>
      <c r="D19003" t="inlineStr">
        <is>
          <t>VÄSTERBOTTENS LÄN</t>
        </is>
      </c>
      <c r="E19003" t="inlineStr">
        <is>
          <t>NORDMALING</t>
        </is>
      </c>
      <c r="F19003" t="inlineStr">
        <is>
          <t>SCA</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19029-2025</t>
        </is>
      </c>
      <c r="B19004" s="1" t="n">
        <v>45764</v>
      </c>
      <c r="C19004" s="1" t="n">
        <v>45788</v>
      </c>
      <c r="D19004" t="inlineStr">
        <is>
          <t>VÄSTERBOTTENS LÄN</t>
        </is>
      </c>
      <c r="E19004" t="inlineStr">
        <is>
          <t>NORDMALING</t>
        </is>
      </c>
      <c r="G19004" t="n">
        <v>4.5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19038-2025</t>
        </is>
      </c>
      <c r="B19005" s="1" t="n">
        <v>45764</v>
      </c>
      <c r="C19005" s="1" t="n">
        <v>45788</v>
      </c>
      <c r="D19005" t="inlineStr">
        <is>
          <t>VÄSTERBOTTENS LÄN</t>
        </is>
      </c>
      <c r="E19005" t="inlineStr">
        <is>
          <t>NORDMALING</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18810-2025</t>
        </is>
      </c>
      <c r="B19006" s="1" t="n">
        <v>45764</v>
      </c>
      <c r="C19006" s="1" t="n">
        <v>45788</v>
      </c>
      <c r="D19006" t="inlineStr">
        <is>
          <t>VÄSTERBOTTENS LÄN</t>
        </is>
      </c>
      <c r="E19006" t="inlineStr">
        <is>
          <t>LYCKSELE</t>
        </is>
      </c>
      <c r="F19006" t="inlineStr">
        <is>
          <t>Holmen skog AB</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18936-2025</t>
        </is>
      </c>
      <c r="B19007" s="1" t="n">
        <v>45764</v>
      </c>
      <c r="C19007" s="1" t="n">
        <v>45788</v>
      </c>
      <c r="D19007" t="inlineStr">
        <is>
          <t>VÄSTERBOTTENS LÄN</t>
        </is>
      </c>
      <c r="E19007" t="inlineStr">
        <is>
          <t>ÅSELE</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19032-2025</t>
        </is>
      </c>
      <c r="B19008" s="1" t="n">
        <v>45764</v>
      </c>
      <c r="C19008" s="1" t="n">
        <v>45788</v>
      </c>
      <c r="D19008" t="inlineStr">
        <is>
          <t>VÄSTERBOTTENS LÄN</t>
        </is>
      </c>
      <c r="E19008" t="inlineStr">
        <is>
          <t>DOROTEA</t>
        </is>
      </c>
      <c r="F19008" t="inlineStr">
        <is>
          <t>SCA</t>
        </is>
      </c>
      <c r="G19008" t="n">
        <v>6.1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18889-2025</t>
        </is>
      </c>
      <c r="B19009" s="1" t="n">
        <v>45764</v>
      </c>
      <c r="C19009" s="1" t="n">
        <v>45788</v>
      </c>
      <c r="D19009" t="inlineStr">
        <is>
          <t>VÄSTERBOTTENS LÄN</t>
        </is>
      </c>
      <c r="E19009" t="inlineStr">
        <is>
          <t>UMEÅ</t>
        </is>
      </c>
      <c r="F19009" t="inlineStr">
        <is>
          <t>Holmen skog AB</t>
        </is>
      </c>
      <c r="G19009" t="n">
        <v>8.1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19119-2025</t>
        </is>
      </c>
      <c r="B19010" s="1" t="n">
        <v>45768</v>
      </c>
      <c r="C19010" s="1" t="n">
        <v>45788</v>
      </c>
      <c r="D19010" t="inlineStr">
        <is>
          <t>VÄSTERBOTTENS LÄN</t>
        </is>
      </c>
      <c r="E19010" t="inlineStr">
        <is>
          <t>SKELLEFTEÅ</t>
        </is>
      </c>
      <c r="G19010" t="n">
        <v>4.7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19107-2025</t>
        </is>
      </c>
      <c r="B19011" s="1" t="n">
        <v>45768</v>
      </c>
      <c r="C19011" s="1" t="n">
        <v>45788</v>
      </c>
      <c r="D19011" t="inlineStr">
        <is>
          <t>VÄSTERBOTTENS LÄN</t>
        </is>
      </c>
      <c r="E19011" t="inlineStr">
        <is>
          <t>SKELLEFTEÅ</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19315-2025</t>
        </is>
      </c>
      <c r="B19012" s="1" t="n">
        <v>45769</v>
      </c>
      <c r="C19012" s="1" t="n">
        <v>45788</v>
      </c>
      <c r="D19012" t="inlineStr">
        <is>
          <t>VÄSTERBOTTENS LÄN</t>
        </is>
      </c>
      <c r="E19012" t="inlineStr">
        <is>
          <t>ROBERTSFORS</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19414-2025</t>
        </is>
      </c>
      <c r="B19013" s="1" t="n">
        <v>45769</v>
      </c>
      <c r="C19013" s="1" t="n">
        <v>45788</v>
      </c>
      <c r="D19013" t="inlineStr">
        <is>
          <t>VÄSTERBOTTENS LÄN</t>
        </is>
      </c>
      <c r="E19013" t="inlineStr">
        <is>
          <t>VILHELMINA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19467-2025</t>
        </is>
      </c>
      <c r="B19014" s="1" t="n">
        <v>45769</v>
      </c>
      <c r="C19014" s="1" t="n">
        <v>45788</v>
      </c>
      <c r="D19014" t="inlineStr">
        <is>
          <t>VÄSTERBOTTENS LÄN</t>
        </is>
      </c>
      <c r="E19014" t="inlineStr">
        <is>
          <t>DOROTEA</t>
        </is>
      </c>
      <c r="G19014" t="n">
        <v>5.2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19223-2025</t>
        </is>
      </c>
      <c r="B19015" s="1" t="n">
        <v>45769</v>
      </c>
      <c r="C19015" s="1" t="n">
        <v>45788</v>
      </c>
      <c r="D19015" t="inlineStr">
        <is>
          <t>VÄSTERBOTTENS LÄN</t>
        </is>
      </c>
      <c r="E19015" t="inlineStr">
        <is>
          <t>VILHELMINA</t>
        </is>
      </c>
      <c r="F19015" t="inlineStr">
        <is>
          <t>SCA</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19385-2025</t>
        </is>
      </c>
      <c r="B19016" s="1" t="n">
        <v>45769</v>
      </c>
      <c r="C19016" s="1" t="n">
        <v>45788</v>
      </c>
      <c r="D19016" t="inlineStr">
        <is>
          <t>VÄSTERBOTTENS LÄN</t>
        </is>
      </c>
      <c r="E19016" t="inlineStr">
        <is>
          <t>ÅSELE</t>
        </is>
      </c>
      <c r="F19016" t="inlineStr">
        <is>
          <t>SCA</t>
        </is>
      </c>
      <c r="G19016" t="n">
        <v>2.9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19279-2025</t>
        </is>
      </c>
      <c r="B19017" s="1" t="n">
        <v>45769</v>
      </c>
      <c r="C19017" s="1" t="n">
        <v>45788</v>
      </c>
      <c r="D19017" t="inlineStr">
        <is>
          <t>VÄSTERBOTTENS LÄN</t>
        </is>
      </c>
      <c r="E19017" t="inlineStr">
        <is>
          <t>SORSELE</t>
        </is>
      </c>
      <c r="G19017" t="n">
        <v>12.2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19293-2025</t>
        </is>
      </c>
      <c r="B19018" s="1" t="n">
        <v>45769</v>
      </c>
      <c r="C19018" s="1" t="n">
        <v>45788</v>
      </c>
      <c r="D19018" t="inlineStr">
        <is>
          <t>VÄSTERBOTTENS LÄN</t>
        </is>
      </c>
      <c r="E19018" t="inlineStr">
        <is>
          <t>SKELLEFTEÅ</t>
        </is>
      </c>
      <c r="G19018" t="n">
        <v>3.7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19246-2025</t>
        </is>
      </c>
      <c r="B19019" s="1" t="n">
        <v>45769</v>
      </c>
      <c r="C19019" s="1" t="n">
        <v>45788</v>
      </c>
      <c r="D19019" t="inlineStr">
        <is>
          <t>VÄSTERBOTTENS LÄN</t>
        </is>
      </c>
      <c r="E19019" t="inlineStr">
        <is>
          <t>LYCKSELE</t>
        </is>
      </c>
      <c r="G19019" t="n">
        <v>9.4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19219-2025</t>
        </is>
      </c>
      <c r="B19020" s="1" t="n">
        <v>45769</v>
      </c>
      <c r="C19020" s="1" t="n">
        <v>45788</v>
      </c>
      <c r="D19020" t="inlineStr">
        <is>
          <t>VÄSTERBOTTENS LÄN</t>
        </is>
      </c>
      <c r="E19020" t="inlineStr">
        <is>
          <t>UMEÅ</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19195-2025</t>
        </is>
      </c>
      <c r="B19021" s="1" t="n">
        <v>45769</v>
      </c>
      <c r="C19021" s="1" t="n">
        <v>45788</v>
      </c>
      <c r="D19021" t="inlineStr">
        <is>
          <t>VÄSTERBOTTENS LÄN</t>
        </is>
      </c>
      <c r="E19021" t="inlineStr">
        <is>
          <t>UMEÅ</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19160-2025</t>
        </is>
      </c>
      <c r="B19022" s="1" t="n">
        <v>45769</v>
      </c>
      <c r="C19022" s="1" t="n">
        <v>45788</v>
      </c>
      <c r="D19022" t="inlineStr">
        <is>
          <t>VÄSTERBOTTENS LÄN</t>
        </is>
      </c>
      <c r="E19022" t="inlineStr">
        <is>
          <t>SKELLEFTEÅ</t>
        </is>
      </c>
      <c r="G19022" t="n">
        <v>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19266-2025</t>
        </is>
      </c>
      <c r="B19023" s="1" t="n">
        <v>45769</v>
      </c>
      <c r="C19023" s="1" t="n">
        <v>45788</v>
      </c>
      <c r="D19023" t="inlineStr">
        <is>
          <t>VÄSTERBOTTENS LÄN</t>
        </is>
      </c>
      <c r="E19023" t="inlineStr">
        <is>
          <t>NORDMALING</t>
        </is>
      </c>
      <c r="G19023" t="n">
        <v>11.7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19272-2025</t>
        </is>
      </c>
      <c r="B19024" s="1" t="n">
        <v>45769</v>
      </c>
      <c r="C19024" s="1" t="n">
        <v>45788</v>
      </c>
      <c r="D19024" t="inlineStr">
        <is>
          <t>VÄSTERBOTTENS LÄN</t>
        </is>
      </c>
      <c r="E19024" t="inlineStr">
        <is>
          <t>UMEÅ</t>
        </is>
      </c>
      <c r="F19024" t="inlineStr">
        <is>
          <t>Holmen skog AB</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19252-2025</t>
        </is>
      </c>
      <c r="B19025" s="1" t="n">
        <v>45769</v>
      </c>
      <c r="C19025" s="1" t="n">
        <v>45788</v>
      </c>
      <c r="D19025" t="inlineStr">
        <is>
          <t>VÄSTERBOTTENS LÄN</t>
        </is>
      </c>
      <c r="E19025" t="inlineStr">
        <is>
          <t>NORDMALING</t>
        </is>
      </c>
      <c r="G19025" t="n">
        <v>3.6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19466-2025</t>
        </is>
      </c>
      <c r="B19026" s="1" t="n">
        <v>45769</v>
      </c>
      <c r="C19026" s="1" t="n">
        <v>45788</v>
      </c>
      <c r="D19026" t="inlineStr">
        <is>
          <t>VÄSTERBOTTENS LÄN</t>
        </is>
      </c>
      <c r="E19026" t="inlineStr">
        <is>
          <t>DOROTEA</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19221-2025</t>
        </is>
      </c>
      <c r="B19027" s="1" t="n">
        <v>45769</v>
      </c>
      <c r="C19027" s="1" t="n">
        <v>45788</v>
      </c>
      <c r="D19027" t="inlineStr">
        <is>
          <t>VÄSTERBOTTENS LÄN</t>
        </is>
      </c>
      <c r="E19027" t="inlineStr">
        <is>
          <t>VILHELMINA</t>
        </is>
      </c>
      <c r="F19027" t="inlineStr">
        <is>
          <t>SCA</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19531-2025</t>
        </is>
      </c>
      <c r="B19028" s="1" t="n">
        <v>45770</v>
      </c>
      <c r="C19028" s="1" t="n">
        <v>45788</v>
      </c>
      <c r="D19028" t="inlineStr">
        <is>
          <t>VÄSTERBOTTENS LÄN</t>
        </is>
      </c>
      <c r="E19028" t="inlineStr">
        <is>
          <t>LYCKSELE</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19545-2025</t>
        </is>
      </c>
      <c r="B19029" s="1" t="n">
        <v>45770</v>
      </c>
      <c r="C19029" s="1" t="n">
        <v>45788</v>
      </c>
      <c r="D19029" t="inlineStr">
        <is>
          <t>VÄSTERBOTTENS LÄN</t>
        </is>
      </c>
      <c r="E19029" t="inlineStr">
        <is>
          <t>SKELLEFTEÅ</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19572-2025</t>
        </is>
      </c>
      <c r="B19030" s="1" t="n">
        <v>45770</v>
      </c>
      <c r="C19030" s="1" t="n">
        <v>45788</v>
      </c>
      <c r="D19030" t="inlineStr">
        <is>
          <t>VÄSTERBOTTENS LÄN</t>
        </is>
      </c>
      <c r="E19030" t="inlineStr">
        <is>
          <t>ÅSELE</t>
        </is>
      </c>
      <c r="F19030" t="inlineStr">
        <is>
          <t>SCA</t>
        </is>
      </c>
      <c r="G19030" t="n">
        <v>5.5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19657-2025</t>
        </is>
      </c>
      <c r="B19031" s="1" t="n">
        <v>45770</v>
      </c>
      <c r="C19031" s="1" t="n">
        <v>45788</v>
      </c>
      <c r="D19031" t="inlineStr">
        <is>
          <t>VÄSTERBOTTENS LÄN</t>
        </is>
      </c>
      <c r="E19031" t="inlineStr">
        <is>
          <t>DOROTEA</t>
        </is>
      </c>
      <c r="F19031" t="inlineStr">
        <is>
          <t>SCA</t>
        </is>
      </c>
      <c r="G19031" t="n">
        <v>1.4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19546-2025</t>
        </is>
      </c>
      <c r="B19032" s="1" t="n">
        <v>45770</v>
      </c>
      <c r="C19032" s="1" t="n">
        <v>45788</v>
      </c>
      <c r="D19032" t="inlineStr">
        <is>
          <t>VÄSTERBOTTENS LÄN</t>
        </is>
      </c>
      <c r="E19032" t="inlineStr">
        <is>
          <t>VILHELMINA</t>
        </is>
      </c>
      <c r="G19032" t="n">
        <v>35.9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19506-2025</t>
        </is>
      </c>
      <c r="B19033" s="1" t="n">
        <v>45770</v>
      </c>
      <c r="C19033" s="1" t="n">
        <v>45788</v>
      </c>
      <c r="D19033" t="inlineStr">
        <is>
          <t>VÄSTERBOTTENS LÄN</t>
        </is>
      </c>
      <c r="E19033" t="inlineStr">
        <is>
          <t>VILHELMINA</t>
        </is>
      </c>
      <c r="G19033" t="n">
        <v>22.4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19606-2025</t>
        </is>
      </c>
      <c r="B19034" s="1" t="n">
        <v>45770</v>
      </c>
      <c r="C19034" s="1" t="n">
        <v>45788</v>
      </c>
      <c r="D19034" t="inlineStr">
        <is>
          <t>VÄSTERBOTTENS LÄN</t>
        </is>
      </c>
      <c r="E19034" t="inlineStr">
        <is>
          <t>LYCKSELE</t>
        </is>
      </c>
      <c r="F19034" t="inlineStr">
        <is>
          <t>Holmen skog AB</t>
        </is>
      </c>
      <c r="G19034" t="n">
        <v>1.9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19616-2025</t>
        </is>
      </c>
      <c r="B19035" s="1" t="n">
        <v>45770</v>
      </c>
      <c r="C19035" s="1" t="n">
        <v>45788</v>
      </c>
      <c r="D19035" t="inlineStr">
        <is>
          <t>VÄSTERBOTTENS LÄN</t>
        </is>
      </c>
      <c r="E19035" t="inlineStr">
        <is>
          <t>DOROTEA</t>
        </is>
      </c>
      <c r="F19035" t="inlineStr">
        <is>
          <t>SCA</t>
        </is>
      </c>
      <c r="G19035" t="n">
        <v>8.4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19614-2025</t>
        </is>
      </c>
      <c r="B19036" s="1" t="n">
        <v>45770</v>
      </c>
      <c r="C19036" s="1" t="n">
        <v>45788</v>
      </c>
      <c r="D19036" t="inlineStr">
        <is>
          <t>VÄSTERBOTTENS LÄN</t>
        </is>
      </c>
      <c r="E19036" t="inlineStr">
        <is>
          <t>ÅSELE</t>
        </is>
      </c>
      <c r="F19036" t="inlineStr">
        <is>
          <t>SCA</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19462-2025</t>
        </is>
      </c>
      <c r="B19037" s="1" t="n">
        <v>45770</v>
      </c>
      <c r="C19037" s="1" t="n">
        <v>45788</v>
      </c>
      <c r="D19037" t="inlineStr">
        <is>
          <t>VÄSTERBOTTENS LÄN</t>
        </is>
      </c>
      <c r="E19037" t="inlineStr">
        <is>
          <t>ÅSELE</t>
        </is>
      </c>
      <c r="F19037" t="inlineStr">
        <is>
          <t>SCA</t>
        </is>
      </c>
      <c r="G19037" t="n">
        <v>2.1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19464-2025</t>
        </is>
      </c>
      <c r="B19038" s="1" t="n">
        <v>45770</v>
      </c>
      <c r="C19038" s="1" t="n">
        <v>45788</v>
      </c>
      <c r="D19038" t="inlineStr">
        <is>
          <t>VÄSTERBOTTENS LÄN</t>
        </is>
      </c>
      <c r="E19038" t="inlineStr">
        <is>
          <t>VILHELMINA</t>
        </is>
      </c>
      <c r="F19038" t="inlineStr">
        <is>
          <t>SCA</t>
        </is>
      </c>
      <c r="G19038" t="n">
        <v>7.3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19811-2025</t>
        </is>
      </c>
      <c r="B19039" s="1" t="n">
        <v>45770</v>
      </c>
      <c r="C19039" s="1" t="n">
        <v>45788</v>
      </c>
      <c r="D19039" t="inlineStr">
        <is>
          <t>VÄSTERBOTTENS LÄN</t>
        </is>
      </c>
      <c r="E19039" t="inlineStr">
        <is>
          <t>SORSELE</t>
        </is>
      </c>
      <c r="G19039" t="n">
        <v>11.8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19658-2025</t>
        </is>
      </c>
      <c r="B19040" s="1" t="n">
        <v>45770</v>
      </c>
      <c r="C19040" s="1" t="n">
        <v>45788</v>
      </c>
      <c r="D19040" t="inlineStr">
        <is>
          <t>VÄSTERBOTTENS LÄN</t>
        </is>
      </c>
      <c r="E19040" t="inlineStr">
        <is>
          <t>SKELLEFTEÅ</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19465-2025</t>
        </is>
      </c>
      <c r="B19041" s="1" t="n">
        <v>45770</v>
      </c>
      <c r="C19041" s="1" t="n">
        <v>45788</v>
      </c>
      <c r="D19041" t="inlineStr">
        <is>
          <t>VÄSTERBOTTENS LÄN</t>
        </is>
      </c>
      <c r="E19041" t="inlineStr">
        <is>
          <t>VILHELMINA</t>
        </is>
      </c>
      <c r="F19041" t="inlineStr">
        <is>
          <t>SCA</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19516-2025</t>
        </is>
      </c>
      <c r="B19042" s="1" t="n">
        <v>45770</v>
      </c>
      <c r="C19042" s="1" t="n">
        <v>45788</v>
      </c>
      <c r="D19042" t="inlineStr">
        <is>
          <t>VÄSTERBOTTENS LÄN</t>
        </is>
      </c>
      <c r="E19042" t="inlineStr">
        <is>
          <t>NORDMALING</t>
        </is>
      </c>
      <c r="G19042" t="n">
        <v>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19600-2025</t>
        </is>
      </c>
      <c r="B19043" s="1" t="n">
        <v>45770</v>
      </c>
      <c r="C19043" s="1" t="n">
        <v>45788</v>
      </c>
      <c r="D19043" t="inlineStr">
        <is>
          <t>VÄSTERBOTTENS LÄN</t>
        </is>
      </c>
      <c r="E19043" t="inlineStr">
        <is>
          <t>VILHELMINA</t>
        </is>
      </c>
      <c r="G19043" t="n">
        <v>3.7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19726-2025</t>
        </is>
      </c>
      <c r="B19044" s="1" t="n">
        <v>45771</v>
      </c>
      <c r="C19044" s="1" t="n">
        <v>45788</v>
      </c>
      <c r="D19044" t="inlineStr">
        <is>
          <t>VÄSTERBOTTENS LÄN</t>
        </is>
      </c>
      <c r="E19044" t="inlineStr">
        <is>
          <t>DOROTEA</t>
        </is>
      </c>
      <c r="F19044" t="inlineStr">
        <is>
          <t>SCA</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19730-2025</t>
        </is>
      </c>
      <c r="B19045" s="1" t="n">
        <v>45771</v>
      </c>
      <c r="C19045" s="1" t="n">
        <v>45788</v>
      </c>
      <c r="D19045" t="inlineStr">
        <is>
          <t>VÄSTERBOTTENS LÄN</t>
        </is>
      </c>
      <c r="E19045" t="inlineStr">
        <is>
          <t>SKELLEFTEÅ</t>
        </is>
      </c>
      <c r="G19045" t="n">
        <v>1.1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19738-2025</t>
        </is>
      </c>
      <c r="B19046" s="1" t="n">
        <v>45771</v>
      </c>
      <c r="C19046" s="1" t="n">
        <v>45788</v>
      </c>
      <c r="D19046" t="inlineStr">
        <is>
          <t>VÄSTERBOTTENS LÄN</t>
        </is>
      </c>
      <c r="E19046" t="inlineStr">
        <is>
          <t>VILHELMINA</t>
        </is>
      </c>
      <c r="G19046" t="n">
        <v>22.5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19764-2025</t>
        </is>
      </c>
      <c r="B19047" s="1" t="n">
        <v>45771</v>
      </c>
      <c r="C19047" s="1" t="n">
        <v>45788</v>
      </c>
      <c r="D19047" t="inlineStr">
        <is>
          <t>VÄSTERBOTTENS LÄN</t>
        </is>
      </c>
      <c r="E19047" t="inlineStr">
        <is>
          <t>SKELLEFTEÅ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19909-2025</t>
        </is>
      </c>
      <c r="B19048" s="1" t="n">
        <v>45771</v>
      </c>
      <c r="C19048" s="1" t="n">
        <v>45788</v>
      </c>
      <c r="D19048" t="inlineStr">
        <is>
          <t>VÄSTERBOTTENS LÄN</t>
        </is>
      </c>
      <c r="E19048" t="inlineStr">
        <is>
          <t>VILHELMINA</t>
        </is>
      </c>
      <c r="G19048" t="n">
        <v>12.4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19765-2025</t>
        </is>
      </c>
      <c r="B19049" s="1" t="n">
        <v>45771</v>
      </c>
      <c r="C19049" s="1" t="n">
        <v>45788</v>
      </c>
      <c r="D19049" t="inlineStr">
        <is>
          <t>VÄSTERBOTTENS LÄN</t>
        </is>
      </c>
      <c r="E19049" t="inlineStr">
        <is>
          <t>SKELLEFTEÅ</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19786-2025</t>
        </is>
      </c>
      <c r="B19050" s="1" t="n">
        <v>45771</v>
      </c>
      <c r="C19050" s="1" t="n">
        <v>45788</v>
      </c>
      <c r="D19050" t="inlineStr">
        <is>
          <t>VÄSTERBOTTENS LÄN</t>
        </is>
      </c>
      <c r="E19050" t="inlineStr">
        <is>
          <t>VÄNNÄS</t>
        </is>
      </c>
      <c r="F19050" t="inlineStr">
        <is>
          <t>Holmen skog AB</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19779-2025</t>
        </is>
      </c>
      <c r="B19051" s="1" t="n">
        <v>45771</v>
      </c>
      <c r="C19051" s="1" t="n">
        <v>45788</v>
      </c>
      <c r="D19051" t="inlineStr">
        <is>
          <t>VÄSTERBOTTENS LÄN</t>
        </is>
      </c>
      <c r="E19051" t="inlineStr">
        <is>
          <t>SKELLEFTEÅ</t>
        </is>
      </c>
      <c r="G19051" t="n">
        <v>7.8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19939-2025</t>
        </is>
      </c>
      <c r="B19052" s="1" t="n">
        <v>45771</v>
      </c>
      <c r="C19052" s="1" t="n">
        <v>45788</v>
      </c>
      <c r="D19052" t="inlineStr">
        <is>
          <t>VÄSTERBOTTENS LÄN</t>
        </is>
      </c>
      <c r="E19052" t="inlineStr">
        <is>
          <t>VINDELN</t>
        </is>
      </c>
      <c r="F19052" t="inlineStr">
        <is>
          <t>Holmen skog AB</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19734-2025</t>
        </is>
      </c>
      <c r="B19053" s="1" t="n">
        <v>45771</v>
      </c>
      <c r="C19053" s="1" t="n">
        <v>45788</v>
      </c>
      <c r="D19053" t="inlineStr">
        <is>
          <t>VÄSTERBOTTENS LÄN</t>
        </is>
      </c>
      <c r="E19053" t="inlineStr">
        <is>
          <t>VÄNNÄS</t>
        </is>
      </c>
      <c r="F19053" t="inlineStr">
        <is>
          <t>Holmen skog AB</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19776-2025</t>
        </is>
      </c>
      <c r="B19054" s="1" t="n">
        <v>45771</v>
      </c>
      <c r="C19054" s="1" t="n">
        <v>45788</v>
      </c>
      <c r="D19054" t="inlineStr">
        <is>
          <t>VÄSTERBOTTENS LÄN</t>
        </is>
      </c>
      <c r="E19054" t="inlineStr">
        <is>
          <t>VÄNNÄS</t>
        </is>
      </c>
      <c r="F19054" t="inlineStr">
        <is>
          <t>Holmen skog AB</t>
        </is>
      </c>
      <c r="G19054" t="n">
        <v>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19706-2025</t>
        </is>
      </c>
      <c r="B19055" s="1" t="n">
        <v>45771</v>
      </c>
      <c r="C19055" s="1" t="n">
        <v>45788</v>
      </c>
      <c r="D19055" t="inlineStr">
        <is>
          <t>VÄSTERBOTTENS LÄN</t>
        </is>
      </c>
      <c r="E19055" t="inlineStr">
        <is>
          <t>VINDELN</t>
        </is>
      </c>
      <c r="G19055" t="n">
        <v>19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19915-2025</t>
        </is>
      </c>
      <c r="B19056" s="1" t="n">
        <v>45771</v>
      </c>
      <c r="C19056" s="1" t="n">
        <v>45788</v>
      </c>
      <c r="D19056" t="inlineStr">
        <is>
          <t>VÄSTERBOTTENS LÄN</t>
        </is>
      </c>
      <c r="E19056" t="inlineStr">
        <is>
          <t>DOROTEA</t>
        </is>
      </c>
      <c r="F19056" t="inlineStr">
        <is>
          <t>SCA</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19970-2025</t>
        </is>
      </c>
      <c r="B19057" s="1" t="n">
        <v>45771</v>
      </c>
      <c r="C19057" s="1" t="n">
        <v>45788</v>
      </c>
      <c r="D19057" t="inlineStr">
        <is>
          <t>VÄSTERBOTTENS LÄN</t>
        </is>
      </c>
      <c r="E19057" t="inlineStr">
        <is>
          <t>SKELLEFTEÅ</t>
        </is>
      </c>
      <c r="G19057" t="n">
        <v>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19972-2025</t>
        </is>
      </c>
      <c r="B19058" s="1" t="n">
        <v>45771</v>
      </c>
      <c r="C19058" s="1" t="n">
        <v>45788</v>
      </c>
      <c r="D19058" t="inlineStr">
        <is>
          <t>VÄSTERBOTTENS LÄN</t>
        </is>
      </c>
      <c r="E19058" t="inlineStr">
        <is>
          <t>UMEÅ</t>
        </is>
      </c>
      <c r="G19058" t="n">
        <v>4.3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19795-2025</t>
        </is>
      </c>
      <c r="B19059" s="1" t="n">
        <v>45771</v>
      </c>
      <c r="C19059" s="1" t="n">
        <v>45788</v>
      </c>
      <c r="D19059" t="inlineStr">
        <is>
          <t>VÄSTERBOTTENS LÄN</t>
        </is>
      </c>
      <c r="E19059" t="inlineStr">
        <is>
          <t>SKELLEFTEÅ</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19928-2025</t>
        </is>
      </c>
      <c r="B19060" s="1" t="n">
        <v>45771</v>
      </c>
      <c r="C19060" s="1" t="n">
        <v>45788</v>
      </c>
      <c r="D19060" t="inlineStr">
        <is>
          <t>VÄSTERBOTTENS LÄN</t>
        </is>
      </c>
      <c r="E19060" t="inlineStr">
        <is>
          <t>ÅSELE</t>
        </is>
      </c>
      <c r="F19060" t="inlineStr">
        <is>
          <t>SCA</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19731-2025</t>
        </is>
      </c>
      <c r="B19061" s="1" t="n">
        <v>45771</v>
      </c>
      <c r="C19061" s="1" t="n">
        <v>45788</v>
      </c>
      <c r="D19061" t="inlineStr">
        <is>
          <t>VÄSTERBOTTENS LÄN</t>
        </is>
      </c>
      <c r="E19061" t="inlineStr">
        <is>
          <t>SKELLEFTEÅ</t>
        </is>
      </c>
      <c r="G19061" t="n">
        <v>6.1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19831-2025</t>
        </is>
      </c>
      <c r="B19062" s="1" t="n">
        <v>45771</v>
      </c>
      <c r="C19062" s="1" t="n">
        <v>45788</v>
      </c>
      <c r="D19062" t="inlineStr">
        <is>
          <t>VÄSTERBOTTENS LÄN</t>
        </is>
      </c>
      <c r="E19062" t="inlineStr">
        <is>
          <t>UMEÅ</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19889-2025</t>
        </is>
      </c>
      <c r="B19063" s="1" t="n">
        <v>45771</v>
      </c>
      <c r="C19063" s="1" t="n">
        <v>45788</v>
      </c>
      <c r="D19063" t="inlineStr">
        <is>
          <t>VÄSTERBOTTENS LÄN</t>
        </is>
      </c>
      <c r="E19063" t="inlineStr">
        <is>
          <t>DOROTEA</t>
        </is>
      </c>
      <c r="F19063" t="inlineStr">
        <is>
          <t>SCA</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19778-2025</t>
        </is>
      </c>
      <c r="B19064" s="1" t="n">
        <v>45771</v>
      </c>
      <c r="C19064" s="1" t="n">
        <v>45788</v>
      </c>
      <c r="D19064" t="inlineStr">
        <is>
          <t>VÄSTERBOTTENS LÄN</t>
        </is>
      </c>
      <c r="E19064" t="inlineStr">
        <is>
          <t>SKELLEFTEÅ</t>
        </is>
      </c>
      <c r="G19064" t="n">
        <v>6.7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19729-2025</t>
        </is>
      </c>
      <c r="B19065" s="1" t="n">
        <v>45771</v>
      </c>
      <c r="C19065" s="1" t="n">
        <v>45788</v>
      </c>
      <c r="D19065" t="inlineStr">
        <is>
          <t>VÄSTERBOTTENS LÄN</t>
        </is>
      </c>
      <c r="E19065" t="inlineStr">
        <is>
          <t>SKELLEFTEÅ</t>
        </is>
      </c>
      <c r="G19065" t="n">
        <v>8.5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19735-2025</t>
        </is>
      </c>
      <c r="B19066" s="1" t="n">
        <v>45771</v>
      </c>
      <c r="C19066" s="1" t="n">
        <v>45788</v>
      </c>
      <c r="D19066" t="inlineStr">
        <is>
          <t>VÄSTERBOTTENS LÄN</t>
        </is>
      </c>
      <c r="E19066" t="inlineStr">
        <is>
          <t>NORDMALING</t>
        </is>
      </c>
      <c r="G19066" t="n">
        <v>5.4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20000-2025</t>
        </is>
      </c>
      <c r="B19067" s="1" t="n">
        <v>45771</v>
      </c>
      <c r="C19067" s="1" t="n">
        <v>45788</v>
      </c>
      <c r="D19067" t="inlineStr">
        <is>
          <t>VÄSTERBOTTENS LÄN</t>
        </is>
      </c>
      <c r="E19067" t="inlineStr">
        <is>
          <t>VINDELN</t>
        </is>
      </c>
      <c r="G19067" t="n">
        <v>3.4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19752-2025</t>
        </is>
      </c>
      <c r="B19068" s="1" t="n">
        <v>45771</v>
      </c>
      <c r="C19068" s="1" t="n">
        <v>45788</v>
      </c>
      <c r="D19068" t="inlineStr">
        <is>
          <t>VÄSTERBOTTENS LÄN</t>
        </is>
      </c>
      <c r="E19068" t="inlineStr">
        <is>
          <t>SKELLEFTEÅ</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20001-2025</t>
        </is>
      </c>
      <c r="B19069" s="1" t="n">
        <v>45771</v>
      </c>
      <c r="C19069" s="1" t="n">
        <v>45788</v>
      </c>
      <c r="D19069" t="inlineStr">
        <is>
          <t>VÄSTERBOTTENS LÄN</t>
        </is>
      </c>
      <c r="E19069" t="inlineStr">
        <is>
          <t>VINDELN</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19951-2025</t>
        </is>
      </c>
      <c r="B19070" s="1" t="n">
        <v>45771</v>
      </c>
      <c r="C19070" s="1" t="n">
        <v>45788</v>
      </c>
      <c r="D19070" t="inlineStr">
        <is>
          <t>VÄSTERBOTTENS LÄN</t>
        </is>
      </c>
      <c r="E19070" t="inlineStr">
        <is>
          <t>SKELLEFTEÅ</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20026-2025</t>
        </is>
      </c>
      <c r="B19071" s="1" t="n">
        <v>45772</v>
      </c>
      <c r="C19071" s="1" t="n">
        <v>45788</v>
      </c>
      <c r="D19071" t="inlineStr">
        <is>
          <t>VÄSTERBOTTENS LÄN</t>
        </is>
      </c>
      <c r="E19071" t="inlineStr">
        <is>
          <t>LYCKSELE</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20143-2025</t>
        </is>
      </c>
      <c r="B19072" s="1" t="n">
        <v>45772</v>
      </c>
      <c r="C19072" s="1" t="n">
        <v>45788</v>
      </c>
      <c r="D19072" t="inlineStr">
        <is>
          <t>VÄSTERBOTTENS LÄN</t>
        </is>
      </c>
      <c r="E19072" t="inlineStr">
        <is>
          <t>UMEÅ</t>
        </is>
      </c>
      <c r="G19072" t="n">
        <v>1.4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20036-2025</t>
        </is>
      </c>
      <c r="B19073" s="1" t="n">
        <v>45772</v>
      </c>
      <c r="C19073" s="1" t="n">
        <v>45788</v>
      </c>
      <c r="D19073" t="inlineStr">
        <is>
          <t>VÄSTERBOTTENS LÄN</t>
        </is>
      </c>
      <c r="E19073" t="inlineStr">
        <is>
          <t>ÅSELE</t>
        </is>
      </c>
      <c r="F19073" t="inlineStr">
        <is>
          <t>Holmen skog AB</t>
        </is>
      </c>
      <c r="G19073" t="n">
        <v>2.6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20084-2025</t>
        </is>
      </c>
      <c r="B19074" s="1" t="n">
        <v>45772</v>
      </c>
      <c r="C19074" s="1" t="n">
        <v>45788</v>
      </c>
      <c r="D19074" t="inlineStr">
        <is>
          <t>VÄSTERBOTTENS LÄN</t>
        </is>
      </c>
      <c r="E19074" t="inlineStr">
        <is>
          <t>SKELLEFTEÅ</t>
        </is>
      </c>
      <c r="F19074" t="inlineStr">
        <is>
          <t>Holmen skog AB</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20008-2025</t>
        </is>
      </c>
      <c r="B19075" s="1" t="n">
        <v>45772</v>
      </c>
      <c r="C19075" s="1" t="n">
        <v>45788</v>
      </c>
      <c r="D19075" t="inlineStr">
        <is>
          <t>VÄSTERBOTTENS LÄN</t>
        </is>
      </c>
      <c r="E19075" t="inlineStr">
        <is>
          <t>NORDMALING</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20007-2025</t>
        </is>
      </c>
      <c r="B19076" s="1" t="n">
        <v>45772</v>
      </c>
      <c r="C19076" s="1" t="n">
        <v>45788</v>
      </c>
      <c r="D19076" t="inlineStr">
        <is>
          <t>VÄSTERBOTTENS LÄN</t>
        </is>
      </c>
      <c r="E19076" t="inlineStr">
        <is>
          <t>NORDMALING</t>
        </is>
      </c>
      <c r="G19076" t="n">
        <v>4.6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20148-2025</t>
        </is>
      </c>
      <c r="B19077" s="1" t="n">
        <v>45772</v>
      </c>
      <c r="C19077" s="1" t="n">
        <v>45788</v>
      </c>
      <c r="D19077" t="inlineStr">
        <is>
          <t>VÄSTERBOTTENS LÄN</t>
        </is>
      </c>
      <c r="E19077" t="inlineStr">
        <is>
          <t>LYCKSELE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20163-2025</t>
        </is>
      </c>
      <c r="B19078" s="1" t="n">
        <v>45772</v>
      </c>
      <c r="C19078" s="1" t="n">
        <v>45788</v>
      </c>
      <c r="D19078" t="inlineStr">
        <is>
          <t>VÄSTERBOTTENS LÄN</t>
        </is>
      </c>
      <c r="E19078" t="inlineStr">
        <is>
          <t>SKELLEFTEÅ</t>
        </is>
      </c>
      <c r="F19078" t="inlineStr">
        <is>
          <t>Holmen skog AB</t>
        </is>
      </c>
      <c r="G19078" t="n">
        <v>5.9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20154-2025</t>
        </is>
      </c>
      <c r="B19079" s="1" t="n">
        <v>45772</v>
      </c>
      <c r="C19079" s="1" t="n">
        <v>45788</v>
      </c>
      <c r="D19079" t="inlineStr">
        <is>
          <t>VÄSTERBOTTENS LÄN</t>
        </is>
      </c>
      <c r="E19079" t="inlineStr">
        <is>
          <t>ÅSELE</t>
        </is>
      </c>
      <c r="F19079" t="inlineStr">
        <is>
          <t>Holmen skog AB</t>
        </is>
      </c>
      <c r="G19079" t="n">
        <v>6.3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20245-2025</t>
        </is>
      </c>
      <c r="B19080" s="1" t="n">
        <v>45772</v>
      </c>
      <c r="C19080" s="1" t="n">
        <v>45788</v>
      </c>
      <c r="D19080" t="inlineStr">
        <is>
          <t>VÄSTERBOTTENS LÄN</t>
        </is>
      </c>
      <c r="E19080" t="inlineStr">
        <is>
          <t>SKELLEFTEÅ</t>
        </is>
      </c>
      <c r="G19080" t="n">
        <v>14.1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20161-2025</t>
        </is>
      </c>
      <c r="B19081" s="1" t="n">
        <v>45772</v>
      </c>
      <c r="C19081" s="1" t="n">
        <v>45788</v>
      </c>
      <c r="D19081" t="inlineStr">
        <is>
          <t>VÄSTERBOTTENS LÄN</t>
        </is>
      </c>
      <c r="E19081" t="inlineStr">
        <is>
          <t>LYCKSELE</t>
        </is>
      </c>
      <c r="F19081" t="inlineStr">
        <is>
          <t>Holmen skog AB</t>
        </is>
      </c>
      <c r="G19081" t="n">
        <v>6.5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20034-2025</t>
        </is>
      </c>
      <c r="B19082" s="1" t="n">
        <v>45772</v>
      </c>
      <c r="C19082" s="1" t="n">
        <v>45788</v>
      </c>
      <c r="D19082" t="inlineStr">
        <is>
          <t>VÄSTERBOTTENS LÄN</t>
        </is>
      </c>
      <c r="E19082" t="inlineStr">
        <is>
          <t>LYCKSELE</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20218-2025</t>
        </is>
      </c>
      <c r="B19083" s="1" t="n">
        <v>45772</v>
      </c>
      <c r="C19083" s="1" t="n">
        <v>45788</v>
      </c>
      <c r="D19083" t="inlineStr">
        <is>
          <t>VÄSTERBOTTENS LÄN</t>
        </is>
      </c>
      <c r="E19083" t="inlineStr">
        <is>
          <t>SKELLEFTEÅ</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20142-2025</t>
        </is>
      </c>
      <c r="B19084" s="1" t="n">
        <v>45772</v>
      </c>
      <c r="C19084" s="1" t="n">
        <v>45788</v>
      </c>
      <c r="D19084" t="inlineStr">
        <is>
          <t>VÄSTERBOTTENS LÄN</t>
        </is>
      </c>
      <c r="E19084" t="inlineStr">
        <is>
          <t>UMEÅ</t>
        </is>
      </c>
      <c r="G19084" t="n">
        <v>2.1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20216-2025</t>
        </is>
      </c>
      <c r="B19085" s="1" t="n">
        <v>45772</v>
      </c>
      <c r="C19085" s="1" t="n">
        <v>45788</v>
      </c>
      <c r="D19085" t="inlineStr">
        <is>
          <t>VÄSTERBOTTENS LÄN</t>
        </is>
      </c>
      <c r="E19085" t="inlineStr">
        <is>
          <t>SKELLEFTEÅ</t>
        </is>
      </c>
      <c r="G19085" t="n">
        <v>8.199999999999999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20220-2025</t>
        </is>
      </c>
      <c r="B19086" s="1" t="n">
        <v>45772</v>
      </c>
      <c r="C19086" s="1" t="n">
        <v>45788</v>
      </c>
      <c r="D19086" t="inlineStr">
        <is>
          <t>VÄSTERBOTTENS LÄN</t>
        </is>
      </c>
      <c r="E19086" t="inlineStr">
        <is>
          <t>SKELLEFTEÅ</t>
        </is>
      </c>
      <c r="G19086" t="n">
        <v>18.6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20193-2025</t>
        </is>
      </c>
      <c r="B19087" s="1" t="n">
        <v>45772</v>
      </c>
      <c r="C19087" s="1" t="n">
        <v>45788</v>
      </c>
      <c r="D19087" t="inlineStr">
        <is>
          <t>VÄSTERBOTTENS LÄN</t>
        </is>
      </c>
      <c r="E19087" t="inlineStr">
        <is>
          <t>SKELLEFTEÅ</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20113-2025</t>
        </is>
      </c>
      <c r="B19088" s="1" t="n">
        <v>45772</v>
      </c>
      <c r="C19088" s="1" t="n">
        <v>45788</v>
      </c>
      <c r="D19088" t="inlineStr">
        <is>
          <t>VÄSTERBOTTENS LÄN</t>
        </is>
      </c>
      <c r="E19088" t="inlineStr">
        <is>
          <t>UMEÅ</t>
        </is>
      </c>
      <c r="G19088" t="n">
        <v>2.6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20129-2025</t>
        </is>
      </c>
      <c r="B19089" s="1" t="n">
        <v>45772</v>
      </c>
      <c r="C19089" s="1" t="n">
        <v>45788</v>
      </c>
      <c r="D19089" t="inlineStr">
        <is>
          <t>VÄSTERBOTTENS LÄN</t>
        </is>
      </c>
      <c r="E19089" t="inlineStr">
        <is>
          <t>SKELLEFTEÅ</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20240-2025</t>
        </is>
      </c>
      <c r="B19090" s="1" t="n">
        <v>45772</v>
      </c>
      <c r="C19090" s="1" t="n">
        <v>45788</v>
      </c>
      <c r="D19090" t="inlineStr">
        <is>
          <t>VÄSTERBOTTENS LÄN</t>
        </is>
      </c>
      <c r="E19090" t="inlineStr">
        <is>
          <t>DOROTEA</t>
        </is>
      </c>
      <c r="F19090" t="inlineStr">
        <is>
          <t>SCA</t>
        </is>
      </c>
      <c r="G19090" t="n">
        <v>6.9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20305-2025</t>
        </is>
      </c>
      <c r="B19091" s="1" t="n">
        <v>45774</v>
      </c>
      <c r="C19091" s="1" t="n">
        <v>45788</v>
      </c>
      <c r="D19091" t="inlineStr">
        <is>
          <t>VÄSTERBOTTENS LÄN</t>
        </is>
      </c>
      <c r="E19091" t="inlineStr">
        <is>
          <t>ÅSELE</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20276-2025</t>
        </is>
      </c>
      <c r="B19092" s="1" t="n">
        <v>45774</v>
      </c>
      <c r="C19092" s="1" t="n">
        <v>45788</v>
      </c>
      <c r="D19092" t="inlineStr">
        <is>
          <t>VÄSTERBOTTENS LÄN</t>
        </is>
      </c>
      <c r="E19092" t="inlineStr">
        <is>
          <t>ÅSELE</t>
        </is>
      </c>
      <c r="G19092" t="n">
        <v>16.3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20302-2025</t>
        </is>
      </c>
      <c r="B19093" s="1" t="n">
        <v>45774</v>
      </c>
      <c r="C19093" s="1" t="n">
        <v>45788</v>
      </c>
      <c r="D19093" t="inlineStr">
        <is>
          <t>VÄSTERBOTTENS LÄN</t>
        </is>
      </c>
      <c r="E19093" t="inlineStr">
        <is>
          <t>ÅSELE</t>
        </is>
      </c>
      <c r="G19093" t="n">
        <v>12.7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20303-2025</t>
        </is>
      </c>
      <c r="B19094" s="1" t="n">
        <v>45774</v>
      </c>
      <c r="C19094" s="1" t="n">
        <v>45788</v>
      </c>
      <c r="D19094" t="inlineStr">
        <is>
          <t>VÄSTERBOTTENS LÄN</t>
        </is>
      </c>
      <c r="E19094" t="inlineStr">
        <is>
          <t>ÅSELE</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20304-2025</t>
        </is>
      </c>
      <c r="B19095" s="1" t="n">
        <v>45774</v>
      </c>
      <c r="C19095" s="1" t="n">
        <v>45788</v>
      </c>
      <c r="D19095" t="inlineStr">
        <is>
          <t>VÄSTERBOTTENS LÄN</t>
        </is>
      </c>
      <c r="E19095" t="inlineStr">
        <is>
          <t>ÅSELE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20384-2025</t>
        </is>
      </c>
      <c r="B19096" s="1" t="n">
        <v>45775</v>
      </c>
      <c r="C19096" s="1" t="n">
        <v>45788</v>
      </c>
      <c r="D19096" t="inlineStr">
        <is>
          <t>VÄSTERBOTTENS LÄN</t>
        </is>
      </c>
      <c r="E19096" t="inlineStr">
        <is>
          <t>ÅSELE</t>
        </is>
      </c>
      <c r="G19096" t="n">
        <v>12.6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45788</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20453-2025</t>
        </is>
      </c>
      <c r="B19098" s="1" t="n">
        <v>45775</v>
      </c>
      <c r="C19098" s="1" t="n">
        <v>45788</v>
      </c>
      <c r="D19098" t="inlineStr">
        <is>
          <t>VÄSTERBOTTENS LÄN</t>
        </is>
      </c>
      <c r="E19098" t="inlineStr">
        <is>
          <t>SORSELE</t>
        </is>
      </c>
      <c r="G19098" t="n">
        <v>5.3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20467-2025</t>
        </is>
      </c>
      <c r="B19099" s="1" t="n">
        <v>45775</v>
      </c>
      <c r="C19099" s="1" t="n">
        <v>45788</v>
      </c>
      <c r="D19099" t="inlineStr">
        <is>
          <t>VÄSTERBOTTENS LÄN</t>
        </is>
      </c>
      <c r="E19099" t="inlineStr">
        <is>
          <t>UMEÅ</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20336-2025</t>
        </is>
      </c>
      <c r="B19100" s="1" t="n">
        <v>45775</v>
      </c>
      <c r="C19100" s="1" t="n">
        <v>45788</v>
      </c>
      <c r="D19100" t="inlineStr">
        <is>
          <t>VÄSTERBOTTENS LÄN</t>
        </is>
      </c>
      <c r="E19100" t="inlineStr">
        <is>
          <t>VILHELMINA</t>
        </is>
      </c>
      <c r="F19100" t="inlineStr">
        <is>
          <t>SCA</t>
        </is>
      </c>
      <c r="G19100" t="n">
        <v>9.4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20340-2025</t>
        </is>
      </c>
      <c r="B19101" s="1" t="n">
        <v>45775</v>
      </c>
      <c r="C19101" s="1" t="n">
        <v>45788</v>
      </c>
      <c r="D19101" t="inlineStr">
        <is>
          <t>VÄSTERBOTTENS LÄN</t>
        </is>
      </c>
      <c r="E19101" t="inlineStr">
        <is>
          <t>SKELLEFTEÅ</t>
        </is>
      </c>
      <c r="G19101" t="n">
        <v>12.5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20534-2025</t>
        </is>
      </c>
      <c r="B19102" s="1" t="n">
        <v>45775</v>
      </c>
      <c r="C19102" s="1" t="n">
        <v>45788</v>
      </c>
      <c r="D19102" t="inlineStr">
        <is>
          <t>VÄSTERBOTTENS LÄN</t>
        </is>
      </c>
      <c r="E19102" t="inlineStr">
        <is>
          <t>VILHELMINA</t>
        </is>
      </c>
      <c r="F19102" t="inlineStr">
        <is>
          <t>SCA</t>
        </is>
      </c>
      <c r="G19102" t="n">
        <v>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20519-2025</t>
        </is>
      </c>
      <c r="B19103" s="1" t="n">
        <v>45775</v>
      </c>
      <c r="C19103" s="1" t="n">
        <v>45788</v>
      </c>
      <c r="D19103" t="inlineStr">
        <is>
          <t>VÄSTERBOTTENS LÄN</t>
        </is>
      </c>
      <c r="E19103" t="inlineStr">
        <is>
          <t>SKELLEFTEÅ</t>
        </is>
      </c>
      <c r="G19103" t="n">
        <v>4.7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20560-2025</t>
        </is>
      </c>
      <c r="B19104" s="1" t="n">
        <v>45775</v>
      </c>
      <c r="C19104" s="1" t="n">
        <v>45788</v>
      </c>
      <c r="D19104" t="inlineStr">
        <is>
          <t>VÄSTERBOTTENS LÄN</t>
        </is>
      </c>
      <c r="E19104" t="inlineStr">
        <is>
          <t>LYCKSELE</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20591-2025</t>
        </is>
      </c>
      <c r="B19105" s="1" t="n">
        <v>45775</v>
      </c>
      <c r="C19105" s="1" t="n">
        <v>45788</v>
      </c>
      <c r="D19105" t="inlineStr">
        <is>
          <t>VÄSTERBOTTENS LÄN</t>
        </is>
      </c>
      <c r="E19105" t="inlineStr">
        <is>
          <t>VILHELMINA</t>
        </is>
      </c>
      <c r="F19105" t="inlineStr">
        <is>
          <t>SCA</t>
        </is>
      </c>
      <c r="G19105" t="n">
        <v>27.4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20494-2025</t>
        </is>
      </c>
      <c r="B19106" s="1" t="n">
        <v>45775</v>
      </c>
      <c r="C19106" s="1" t="n">
        <v>45788</v>
      </c>
      <c r="D19106" t="inlineStr">
        <is>
          <t>VÄSTERBOTTENS LÄN</t>
        </is>
      </c>
      <c r="E19106" t="inlineStr">
        <is>
          <t>SKELLEFTEÅ</t>
        </is>
      </c>
      <c r="G19106" t="n">
        <v>3.8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20476-2025</t>
        </is>
      </c>
      <c r="B19107" s="1" t="n">
        <v>45775</v>
      </c>
      <c r="C19107" s="1" t="n">
        <v>45788</v>
      </c>
      <c r="D19107" t="inlineStr">
        <is>
          <t>VÄSTERBOTTENS LÄN</t>
        </is>
      </c>
      <c r="E19107" t="inlineStr">
        <is>
          <t>NORDMALING</t>
        </is>
      </c>
      <c r="G19107" t="n">
        <v>2.6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20479-2025</t>
        </is>
      </c>
      <c r="B19108" s="1" t="n">
        <v>45775</v>
      </c>
      <c r="C19108" s="1" t="n">
        <v>45788</v>
      </c>
      <c r="D19108" t="inlineStr">
        <is>
          <t>VÄSTERBOTTENS LÄN</t>
        </is>
      </c>
      <c r="E19108" t="inlineStr">
        <is>
          <t>NORDMALING</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20489-2025</t>
        </is>
      </c>
      <c r="B19109" s="1" t="n">
        <v>45775</v>
      </c>
      <c r="C19109" s="1" t="n">
        <v>45788</v>
      </c>
      <c r="D19109" t="inlineStr">
        <is>
          <t>VÄSTERBOTTENS LÄN</t>
        </is>
      </c>
      <c r="E19109" t="inlineStr">
        <is>
          <t>NORDMALING</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20405-2025</t>
        </is>
      </c>
      <c r="B19110" s="1" t="n">
        <v>45775</v>
      </c>
      <c r="C19110" s="1" t="n">
        <v>45788</v>
      </c>
      <c r="D19110" t="inlineStr">
        <is>
          <t>VÄSTERBOTTENS LÄN</t>
        </is>
      </c>
      <c r="E19110" t="inlineStr">
        <is>
          <t>ÅSELE</t>
        </is>
      </c>
      <c r="G19110" t="n">
        <v>3.7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20344-2025</t>
        </is>
      </c>
      <c r="B19111" s="1" t="n">
        <v>45775</v>
      </c>
      <c r="C19111" s="1" t="n">
        <v>45788</v>
      </c>
      <c r="D19111" t="inlineStr">
        <is>
          <t>VÄSTERBOTTENS LÄN</t>
        </is>
      </c>
      <c r="E19111" t="inlineStr">
        <is>
          <t>LYCKSELE</t>
        </is>
      </c>
      <c r="F19111" t="inlineStr">
        <is>
          <t>Sveaskog</t>
        </is>
      </c>
      <c r="G19111" t="n">
        <v>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20508-2025</t>
        </is>
      </c>
      <c r="B19112" s="1" t="n">
        <v>45775</v>
      </c>
      <c r="C19112" s="1" t="n">
        <v>45788</v>
      </c>
      <c r="D19112" t="inlineStr">
        <is>
          <t>VÄSTERBOTTENS LÄN</t>
        </is>
      </c>
      <c r="E19112" t="inlineStr">
        <is>
          <t>LYCKSELE</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20432-2025</t>
        </is>
      </c>
      <c r="B19113" s="1" t="n">
        <v>45775</v>
      </c>
      <c r="C19113" s="1" t="n">
        <v>45788</v>
      </c>
      <c r="D19113" t="inlineStr">
        <is>
          <t>VÄSTERBOTTENS LÄN</t>
        </is>
      </c>
      <c r="E19113" t="inlineStr">
        <is>
          <t>VÄNNÄS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20455-2025</t>
        </is>
      </c>
      <c r="B19114" s="1" t="n">
        <v>45775</v>
      </c>
      <c r="C19114" s="1" t="n">
        <v>45788</v>
      </c>
      <c r="D19114" t="inlineStr">
        <is>
          <t>VÄSTERBOTTENS LÄN</t>
        </is>
      </c>
      <c r="E19114" t="inlineStr">
        <is>
          <t>ÅSELE</t>
        </is>
      </c>
      <c r="F19114" t="inlineStr">
        <is>
          <t>SCA</t>
        </is>
      </c>
      <c r="G19114" t="n">
        <v>18.4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20471-2025</t>
        </is>
      </c>
      <c r="B19115" s="1" t="n">
        <v>45775</v>
      </c>
      <c r="C19115" s="1" t="n">
        <v>45788</v>
      </c>
      <c r="D19115" t="inlineStr">
        <is>
          <t>VÄSTERBOTTENS LÄN</t>
        </is>
      </c>
      <c r="E19115" t="inlineStr">
        <is>
          <t>NORDMALING</t>
        </is>
      </c>
      <c r="G19115" t="n">
        <v>1.9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20378-2025</t>
        </is>
      </c>
      <c r="B19116" s="1" t="n">
        <v>45775</v>
      </c>
      <c r="C19116" s="1" t="n">
        <v>45788</v>
      </c>
      <c r="D19116" t="inlineStr">
        <is>
          <t>VÄSTERBOTTENS LÄN</t>
        </is>
      </c>
      <c r="E19116" t="inlineStr">
        <is>
          <t>SKELLEFTEÅ</t>
        </is>
      </c>
      <c r="G19116" t="n">
        <v>4.1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20425-2025</t>
        </is>
      </c>
      <c r="B19117" s="1" t="n">
        <v>45775</v>
      </c>
      <c r="C19117" s="1" t="n">
        <v>45788</v>
      </c>
      <c r="D19117" t="inlineStr">
        <is>
          <t>VÄSTERBOTTENS LÄN</t>
        </is>
      </c>
      <c r="E19117" t="inlineStr">
        <is>
          <t>UMEÅ</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20324-2025</t>
        </is>
      </c>
      <c r="B19118" s="1" t="n">
        <v>45775</v>
      </c>
      <c r="C19118" s="1" t="n">
        <v>45788</v>
      </c>
      <c r="D19118" t="inlineStr">
        <is>
          <t>VÄSTERBOTTENS LÄN</t>
        </is>
      </c>
      <c r="E19118" t="inlineStr">
        <is>
          <t>VILHELMINA</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20505-2025</t>
        </is>
      </c>
      <c r="B19119" s="1" t="n">
        <v>45775</v>
      </c>
      <c r="C19119" s="1" t="n">
        <v>45788</v>
      </c>
      <c r="D19119" t="inlineStr">
        <is>
          <t>VÄSTERBOTTENS LÄN</t>
        </is>
      </c>
      <c r="E19119" t="inlineStr">
        <is>
          <t>SKELLEFTEÅ</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20481-2025</t>
        </is>
      </c>
      <c r="B19120" s="1" t="n">
        <v>45775</v>
      </c>
      <c r="C19120" s="1" t="n">
        <v>45788</v>
      </c>
      <c r="D19120" t="inlineStr">
        <is>
          <t>VÄSTERBOTTENS LÄN</t>
        </is>
      </c>
      <c r="E19120" t="inlineStr">
        <is>
          <t>NORDMALING</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20390-2025</t>
        </is>
      </c>
      <c r="B19121" s="1" t="n">
        <v>45775</v>
      </c>
      <c r="C19121" s="1" t="n">
        <v>45788</v>
      </c>
      <c r="D19121" t="inlineStr">
        <is>
          <t>VÄSTERBOTTENS LÄN</t>
        </is>
      </c>
      <c r="E19121" t="inlineStr">
        <is>
          <t>VINDELN</t>
        </is>
      </c>
      <c r="F19121" t="inlineStr">
        <is>
          <t>SCA</t>
        </is>
      </c>
      <c r="G19121" t="n">
        <v>8.300000000000001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20738-2025</t>
        </is>
      </c>
      <c r="B19122" s="1" t="n">
        <v>45776</v>
      </c>
      <c r="C19122" s="1" t="n">
        <v>45788</v>
      </c>
      <c r="D19122" t="inlineStr">
        <is>
          <t>VÄSTERBOTTENS LÄN</t>
        </is>
      </c>
      <c r="E19122" t="inlineStr">
        <is>
          <t>VINDELN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20743-2025</t>
        </is>
      </c>
      <c r="B19123" s="1" t="n">
        <v>45776</v>
      </c>
      <c r="C19123" s="1" t="n">
        <v>45788</v>
      </c>
      <c r="D19123" t="inlineStr">
        <is>
          <t>VÄSTERBOTTENS LÄN</t>
        </is>
      </c>
      <c r="E19123" t="inlineStr">
        <is>
          <t>VINDELN</t>
        </is>
      </c>
      <c r="G19123" t="n">
        <v>5.9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20744-2025</t>
        </is>
      </c>
      <c r="B19124" s="1" t="n">
        <v>45776</v>
      </c>
      <c r="C19124" s="1" t="n">
        <v>45788</v>
      </c>
      <c r="D19124" t="inlineStr">
        <is>
          <t>VÄSTERBOTTENS LÄN</t>
        </is>
      </c>
      <c r="E19124" t="inlineStr">
        <is>
          <t>ROBERTSFORS</t>
        </is>
      </c>
      <c r="F19124" t="inlineStr">
        <is>
          <t>Holmen skog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20741-2025</t>
        </is>
      </c>
      <c r="B19125" s="1" t="n">
        <v>45776</v>
      </c>
      <c r="C19125" s="1" t="n">
        <v>45788</v>
      </c>
      <c r="D19125" t="inlineStr">
        <is>
          <t>VÄSTERBOTTENS LÄN</t>
        </is>
      </c>
      <c r="E19125" t="inlineStr">
        <is>
          <t>VINDELN</t>
        </is>
      </c>
      <c r="G19125" t="n">
        <v>4.4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20824-2025</t>
        </is>
      </c>
      <c r="B19126" s="1" t="n">
        <v>45776</v>
      </c>
      <c r="C19126" s="1" t="n">
        <v>45788</v>
      </c>
      <c r="D19126" t="inlineStr">
        <is>
          <t>VÄSTERBOTTENS LÄN</t>
        </is>
      </c>
      <c r="E19126" t="inlineStr">
        <is>
          <t>SKELLEFTEÅ</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20825-2025</t>
        </is>
      </c>
      <c r="B19127" s="1" t="n">
        <v>45776</v>
      </c>
      <c r="C19127" s="1" t="n">
        <v>45788</v>
      </c>
      <c r="D19127" t="inlineStr">
        <is>
          <t>VÄSTERBOTTENS LÄN</t>
        </is>
      </c>
      <c r="E19127" t="inlineStr">
        <is>
          <t>SKELLEFTEÅ</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20768-2025</t>
        </is>
      </c>
      <c r="B19128" s="1" t="n">
        <v>45776</v>
      </c>
      <c r="C19128" s="1" t="n">
        <v>45788</v>
      </c>
      <c r="D19128" t="inlineStr">
        <is>
          <t>VÄSTERBOTTENS LÄN</t>
        </is>
      </c>
      <c r="E19128" t="inlineStr">
        <is>
          <t>NORDMALING</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20640-2025</t>
        </is>
      </c>
      <c r="B19129" s="1" t="n">
        <v>45776</v>
      </c>
      <c r="C19129" s="1" t="n">
        <v>45788</v>
      </c>
      <c r="D19129" t="inlineStr">
        <is>
          <t>VÄSTERBOTTENS LÄN</t>
        </is>
      </c>
      <c r="E19129" t="inlineStr">
        <is>
          <t>VÄNNÄS</t>
        </is>
      </c>
      <c r="G19129" t="n">
        <v>5.2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20796-2025</t>
        </is>
      </c>
      <c r="B19130" s="1" t="n">
        <v>45776</v>
      </c>
      <c r="C19130" s="1" t="n">
        <v>45788</v>
      </c>
      <c r="D19130" t="inlineStr">
        <is>
          <t>VÄSTERBOTTENS LÄN</t>
        </is>
      </c>
      <c r="E19130" t="inlineStr">
        <is>
          <t>VINDELN</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20671-2025</t>
        </is>
      </c>
      <c r="B19131" s="1" t="n">
        <v>45776</v>
      </c>
      <c r="C19131" s="1" t="n">
        <v>45788</v>
      </c>
      <c r="D19131" t="inlineStr">
        <is>
          <t>VÄSTERBOTTENS LÄN</t>
        </is>
      </c>
      <c r="E19131" t="inlineStr">
        <is>
          <t>LYCKSELE</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20751-2025</t>
        </is>
      </c>
      <c r="B19132" s="1" t="n">
        <v>45776</v>
      </c>
      <c r="C19132" s="1" t="n">
        <v>45788</v>
      </c>
      <c r="D19132" t="inlineStr">
        <is>
          <t>VÄSTERBOTTENS LÄN</t>
        </is>
      </c>
      <c r="E19132" t="inlineStr">
        <is>
          <t>ROBERTSFORS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20685-2025</t>
        </is>
      </c>
      <c r="B19133" s="1" t="n">
        <v>45776</v>
      </c>
      <c r="C19133" s="1" t="n">
        <v>45788</v>
      </c>
      <c r="D19133" t="inlineStr">
        <is>
          <t>VÄSTERBOTTENS LÄN</t>
        </is>
      </c>
      <c r="E19133" t="inlineStr">
        <is>
          <t>LYCKSELE</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20647-2025</t>
        </is>
      </c>
      <c r="B19134" s="1" t="n">
        <v>45776</v>
      </c>
      <c r="C19134" s="1" t="n">
        <v>45788</v>
      </c>
      <c r="D19134" t="inlineStr">
        <is>
          <t>VÄSTERBOTTENS LÄN</t>
        </is>
      </c>
      <c r="E19134" t="inlineStr">
        <is>
          <t>VINDELN</t>
        </is>
      </c>
      <c r="G19134" t="n">
        <v>7.5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20802-2025</t>
        </is>
      </c>
      <c r="B19135" s="1" t="n">
        <v>45776</v>
      </c>
      <c r="C19135" s="1" t="n">
        <v>45788</v>
      </c>
      <c r="D19135" t="inlineStr">
        <is>
          <t>VÄSTERBOTTENS LÄN</t>
        </is>
      </c>
      <c r="E19135" t="inlineStr">
        <is>
          <t>ROBERTSFORS</t>
        </is>
      </c>
      <c r="F19135" t="inlineStr">
        <is>
          <t>Holmen skog AB</t>
        </is>
      </c>
      <c r="G19135" t="n">
        <v>3.4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20800-2025</t>
        </is>
      </c>
      <c r="B19136" s="1" t="n">
        <v>45776</v>
      </c>
      <c r="C19136" s="1" t="n">
        <v>45788</v>
      </c>
      <c r="D19136" t="inlineStr">
        <is>
          <t>VÄSTERBOTTENS LÄN</t>
        </is>
      </c>
      <c r="E19136" t="inlineStr">
        <is>
          <t>VINDELN</t>
        </is>
      </c>
      <c r="G19136" t="n">
        <v>1.1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45788</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21013-2025</t>
        </is>
      </c>
      <c r="B19138" s="1" t="n">
        <v>45777</v>
      </c>
      <c r="C19138" s="1" t="n">
        <v>45788</v>
      </c>
      <c r="D19138" t="inlineStr">
        <is>
          <t>VÄSTERBOTTENS LÄN</t>
        </is>
      </c>
      <c r="E19138" t="inlineStr">
        <is>
          <t>VINDELN</t>
        </is>
      </c>
      <c r="F19138" t="inlineStr">
        <is>
          <t>Sveaskog</t>
        </is>
      </c>
      <c r="G19138" t="n">
        <v>17.5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20973-2025</t>
        </is>
      </c>
      <c r="B19139" s="1" t="n">
        <v>45777</v>
      </c>
      <c r="C19139" s="1" t="n">
        <v>45788</v>
      </c>
      <c r="D19139" t="inlineStr">
        <is>
          <t>VÄSTERBOTTENS LÄN</t>
        </is>
      </c>
      <c r="E19139" t="inlineStr">
        <is>
          <t>BJURHOLM</t>
        </is>
      </c>
      <c r="F19139" t="inlineStr">
        <is>
          <t>Sveaskog</t>
        </is>
      </c>
      <c r="G19139" t="n">
        <v>7.6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20964-2025</t>
        </is>
      </c>
      <c r="B19140" s="1" t="n">
        <v>45777</v>
      </c>
      <c r="C19140" s="1" t="n">
        <v>45788</v>
      </c>
      <c r="D19140" t="inlineStr">
        <is>
          <t>VÄSTERBOTTENS LÄN</t>
        </is>
      </c>
      <c r="E19140" t="inlineStr">
        <is>
          <t>VINDELN</t>
        </is>
      </c>
      <c r="F19140" t="inlineStr">
        <is>
          <t>Sveaskog</t>
        </is>
      </c>
      <c r="G19140" t="n">
        <v>11.6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20968-2025</t>
        </is>
      </c>
      <c r="B19141" s="1" t="n">
        <v>45777</v>
      </c>
      <c r="C19141" s="1" t="n">
        <v>45788</v>
      </c>
      <c r="D19141" t="inlineStr">
        <is>
          <t>VÄSTERBOTTENS LÄN</t>
        </is>
      </c>
      <c r="E19141" t="inlineStr">
        <is>
          <t>VINDELN</t>
        </is>
      </c>
      <c r="F19141" t="inlineStr">
        <is>
          <t>Sveaskog</t>
        </is>
      </c>
      <c r="G19141" t="n">
        <v>31.1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20979-2025</t>
        </is>
      </c>
      <c r="B19142" s="1" t="n">
        <v>45777</v>
      </c>
      <c r="C19142" s="1" t="n">
        <v>45788</v>
      </c>
      <c r="D19142" t="inlineStr">
        <is>
          <t>VÄSTERBOTTENS LÄN</t>
        </is>
      </c>
      <c r="E19142" t="inlineStr">
        <is>
          <t>LYCKSELE</t>
        </is>
      </c>
      <c r="F19142" t="inlineStr">
        <is>
          <t>Sveaskog</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20913-2025</t>
        </is>
      </c>
      <c r="B19143" s="1" t="n">
        <v>45777</v>
      </c>
      <c r="C19143" s="1" t="n">
        <v>45788</v>
      </c>
      <c r="D19143" t="inlineStr">
        <is>
          <t>VÄSTERBOTTENS LÄN</t>
        </is>
      </c>
      <c r="E19143" t="inlineStr">
        <is>
          <t>SKELLEFTEÅ</t>
        </is>
      </c>
      <c r="G19143" t="n">
        <v>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20921-2025</t>
        </is>
      </c>
      <c r="B19144" s="1" t="n">
        <v>45777</v>
      </c>
      <c r="C19144" s="1" t="n">
        <v>45788</v>
      </c>
      <c r="D19144" t="inlineStr">
        <is>
          <t>VÄSTERBOTTENS LÄN</t>
        </is>
      </c>
      <c r="E19144" t="inlineStr">
        <is>
          <t>SKELLEFTEÅ</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21014-2025</t>
        </is>
      </c>
      <c r="B19145" s="1" t="n">
        <v>45777</v>
      </c>
      <c r="C19145" s="1" t="n">
        <v>45788</v>
      </c>
      <c r="D19145" t="inlineStr">
        <is>
          <t>VÄSTERBOTTENS LÄN</t>
        </is>
      </c>
      <c r="E19145" t="inlineStr">
        <is>
          <t>VINDELN</t>
        </is>
      </c>
      <c r="F19145" t="inlineStr">
        <is>
          <t>Sveaskog</t>
        </is>
      </c>
      <c r="G19145" t="n">
        <v>4.2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20846-2025</t>
        </is>
      </c>
      <c r="B19146" s="1" t="n">
        <v>45777</v>
      </c>
      <c r="C19146" s="1" t="n">
        <v>45788</v>
      </c>
      <c r="D19146" t="inlineStr">
        <is>
          <t>VÄSTERBOTTENS LÄN</t>
        </is>
      </c>
      <c r="E19146" t="inlineStr">
        <is>
          <t>VILHELMINA</t>
        </is>
      </c>
      <c r="G19146" t="n">
        <v>19.1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21090-2025</t>
        </is>
      </c>
      <c r="B19147" s="1" t="n">
        <v>45777</v>
      </c>
      <c r="C19147" s="1" t="n">
        <v>45788</v>
      </c>
      <c r="D19147" t="inlineStr">
        <is>
          <t>VÄSTERBOTTENS LÄN</t>
        </is>
      </c>
      <c r="E19147" t="inlineStr">
        <is>
          <t>VÄNNÄS</t>
        </is>
      </c>
      <c r="G19147" t="n">
        <v>2.6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21095-2025</t>
        </is>
      </c>
      <c r="B19148" s="1" t="n">
        <v>45777</v>
      </c>
      <c r="C19148" s="1" t="n">
        <v>45788</v>
      </c>
      <c r="D19148" t="inlineStr">
        <is>
          <t>VÄSTERBOTTENS LÄN</t>
        </is>
      </c>
      <c r="E19148" t="inlineStr">
        <is>
          <t>ÅSELE</t>
        </is>
      </c>
      <c r="F19148" t="inlineStr">
        <is>
          <t>SCA</t>
        </is>
      </c>
      <c r="G19148" t="n">
        <v>1.5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20941-2025</t>
        </is>
      </c>
      <c r="B19149" s="1" t="n">
        <v>45777</v>
      </c>
      <c r="C19149" s="1" t="n">
        <v>45788</v>
      </c>
      <c r="D19149" t="inlineStr">
        <is>
          <t>VÄSTERBOTTENS LÄN</t>
        </is>
      </c>
      <c r="E19149" t="inlineStr">
        <is>
          <t>VINDELN</t>
        </is>
      </c>
      <c r="F19149" t="inlineStr">
        <is>
          <t>Sveaskog</t>
        </is>
      </c>
      <c r="G19149" t="n">
        <v>8.199999999999999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20869-2025</t>
        </is>
      </c>
      <c r="B19150" s="1" t="n">
        <v>45777</v>
      </c>
      <c r="C19150" s="1" t="n">
        <v>45788</v>
      </c>
      <c r="D19150" t="inlineStr">
        <is>
          <t>VÄSTERBOTTENS LÄN</t>
        </is>
      </c>
      <c r="E19150" t="inlineStr">
        <is>
          <t>DOROTEA</t>
        </is>
      </c>
      <c r="F19150" t="inlineStr">
        <is>
          <t>SCA</t>
        </is>
      </c>
      <c r="G19150" t="n">
        <v>6.1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20958-2025</t>
        </is>
      </c>
      <c r="B19151" s="1" t="n">
        <v>45777</v>
      </c>
      <c r="C19151" s="1" t="n">
        <v>45788</v>
      </c>
      <c r="D19151" t="inlineStr">
        <is>
          <t>VÄSTERBOTTENS LÄN</t>
        </is>
      </c>
      <c r="E19151" t="inlineStr">
        <is>
          <t>LYCKSELE</t>
        </is>
      </c>
      <c r="F19151" t="inlineStr">
        <is>
          <t>Sveaskog</t>
        </is>
      </c>
      <c r="G19151" t="n">
        <v>31.1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21044-2025</t>
        </is>
      </c>
      <c r="B19152" s="1" t="n">
        <v>45777</v>
      </c>
      <c r="C19152" s="1" t="n">
        <v>45788</v>
      </c>
      <c r="D19152" t="inlineStr">
        <is>
          <t>VÄSTERBOTTENS LÄN</t>
        </is>
      </c>
      <c r="E19152" t="inlineStr">
        <is>
          <t>ÅSELE</t>
        </is>
      </c>
      <c r="F19152" t="inlineStr">
        <is>
          <t>SCA</t>
        </is>
      </c>
      <c r="G19152" t="n">
        <v>3.7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21046-2025</t>
        </is>
      </c>
      <c r="B19153" s="1" t="n">
        <v>45777</v>
      </c>
      <c r="C19153" s="1" t="n">
        <v>45788</v>
      </c>
      <c r="D19153" t="inlineStr">
        <is>
          <t>VÄSTERBOTTENS LÄN</t>
        </is>
      </c>
      <c r="E19153" t="inlineStr">
        <is>
          <t>LYCKSELE</t>
        </is>
      </c>
      <c r="F19153" t="inlineStr">
        <is>
          <t>Holmen skog AB</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21069-2025</t>
        </is>
      </c>
      <c r="B19154" s="1" t="n">
        <v>45777</v>
      </c>
      <c r="C19154" s="1" t="n">
        <v>45788</v>
      </c>
      <c r="D19154" t="inlineStr">
        <is>
          <t>VÄSTERBOTTENS LÄN</t>
        </is>
      </c>
      <c r="E19154" t="inlineStr">
        <is>
          <t>VILHELMINA</t>
        </is>
      </c>
      <c r="F19154" t="inlineStr">
        <is>
          <t>SCA</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21034-2025</t>
        </is>
      </c>
      <c r="B19155" s="1" t="n">
        <v>45777</v>
      </c>
      <c r="C19155" s="1" t="n">
        <v>45788</v>
      </c>
      <c r="D19155" t="inlineStr">
        <is>
          <t>VÄSTERBOTTENS LÄN</t>
        </is>
      </c>
      <c r="E19155" t="inlineStr">
        <is>
          <t>SKELLEFTEÅ</t>
        </is>
      </c>
      <c r="G19155" t="n">
        <v>6.7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20962-2025</t>
        </is>
      </c>
      <c r="B19156" s="1" t="n">
        <v>45777</v>
      </c>
      <c r="C19156" s="1" t="n">
        <v>45788</v>
      </c>
      <c r="D19156" t="inlineStr">
        <is>
          <t>VÄSTERBOTTENS LÄN</t>
        </is>
      </c>
      <c r="E19156" t="inlineStr">
        <is>
          <t>VINDELN</t>
        </is>
      </c>
      <c r="F19156" t="inlineStr">
        <is>
          <t>Holmen skog AB</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20991-2025</t>
        </is>
      </c>
      <c r="B19157" s="1" t="n">
        <v>45777</v>
      </c>
      <c r="C19157" s="1" t="n">
        <v>45788</v>
      </c>
      <c r="D19157" t="inlineStr">
        <is>
          <t>VÄSTERBOTTENS LÄN</t>
        </is>
      </c>
      <c r="E19157" t="inlineStr">
        <is>
          <t>VINDELN</t>
        </is>
      </c>
      <c r="F19157" t="inlineStr">
        <is>
          <t>Holmen skog AB</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20983-2025</t>
        </is>
      </c>
      <c r="B19158" s="1" t="n">
        <v>45777</v>
      </c>
      <c r="C19158" s="1" t="n">
        <v>45788</v>
      </c>
      <c r="D19158" t="inlineStr">
        <is>
          <t>VÄSTERBOTTENS LÄN</t>
        </is>
      </c>
      <c r="E19158" t="inlineStr">
        <is>
          <t>VILHELMINA</t>
        </is>
      </c>
      <c r="F19158" t="inlineStr">
        <is>
          <t>SCA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21075-2025</t>
        </is>
      </c>
      <c r="B19159" s="1" t="n">
        <v>45777</v>
      </c>
      <c r="C19159" s="1" t="n">
        <v>45788</v>
      </c>
      <c r="D19159" t="inlineStr">
        <is>
          <t>VÄSTERBOTTENS LÄN</t>
        </is>
      </c>
      <c r="E19159" t="inlineStr">
        <is>
          <t>VÄNNÄS</t>
        </is>
      </c>
      <c r="G19159" t="n">
        <v>8.6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20865-2025</t>
        </is>
      </c>
      <c r="B19160" s="1" t="n">
        <v>45777</v>
      </c>
      <c r="C19160" s="1" t="n">
        <v>45788</v>
      </c>
      <c r="D19160" t="inlineStr">
        <is>
          <t>VÄSTERBOTTENS LÄN</t>
        </is>
      </c>
      <c r="E19160" t="inlineStr">
        <is>
          <t>SKELLEFTEÅ</t>
        </is>
      </c>
      <c r="F19160" t="inlineStr">
        <is>
          <t>SCA</t>
        </is>
      </c>
      <c r="G19160" t="n">
        <v>8.4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20981-2025</t>
        </is>
      </c>
      <c r="B19161" s="1" t="n">
        <v>45777</v>
      </c>
      <c r="C19161" s="1" t="n">
        <v>45788</v>
      </c>
      <c r="D19161" t="inlineStr">
        <is>
          <t>VÄSTERBOTTENS LÄN</t>
        </is>
      </c>
      <c r="E19161" t="inlineStr">
        <is>
          <t>UMEÅ</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21035-2025</t>
        </is>
      </c>
      <c r="B19162" s="1" t="n">
        <v>45777</v>
      </c>
      <c r="C19162" s="1" t="n">
        <v>45788</v>
      </c>
      <c r="D19162" t="inlineStr">
        <is>
          <t>VÄSTERBOTTENS LÄN</t>
        </is>
      </c>
      <c r="E19162" t="inlineStr">
        <is>
          <t>VILHELMINA</t>
        </is>
      </c>
      <c r="F19162" t="inlineStr">
        <is>
          <t>SCA</t>
        </is>
      </c>
      <c r="G19162" t="n">
        <v>3.8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21131-2025</t>
        </is>
      </c>
      <c r="B19163" s="1" t="n">
        <v>45778</v>
      </c>
      <c r="C19163" s="1" t="n">
        <v>45788</v>
      </c>
      <c r="D19163" t="inlineStr">
        <is>
          <t>VÄSTERBOTTENS LÄN</t>
        </is>
      </c>
      <c r="E19163" t="inlineStr">
        <is>
          <t>SKELLEFTEÅ</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21127-2025</t>
        </is>
      </c>
      <c r="B19164" s="1" t="n">
        <v>45778</v>
      </c>
      <c r="C19164" s="1" t="n">
        <v>45788</v>
      </c>
      <c r="D19164" t="inlineStr">
        <is>
          <t>VÄSTERBOTTENS LÄN</t>
        </is>
      </c>
      <c r="E19164" t="inlineStr">
        <is>
          <t>DOROTEA</t>
        </is>
      </c>
      <c r="F19164" t="inlineStr">
        <is>
          <t>SCA</t>
        </is>
      </c>
      <c r="G19164" t="n">
        <v>9.1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21192-2025</t>
        </is>
      </c>
      <c r="B19165" s="1" t="n">
        <v>45779</v>
      </c>
      <c r="C19165" s="1" t="n">
        <v>45788</v>
      </c>
      <c r="D19165" t="inlineStr">
        <is>
          <t>VÄSTERBOTTENS LÄN</t>
        </is>
      </c>
      <c r="E19165" t="inlineStr">
        <is>
          <t>VINDELN</t>
        </is>
      </c>
      <c r="F19165" t="inlineStr">
        <is>
          <t>Sveaskog</t>
        </is>
      </c>
      <c r="G19165" t="n">
        <v>7.2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21195-2025</t>
        </is>
      </c>
      <c r="B19166" s="1" t="n">
        <v>45779</v>
      </c>
      <c r="C19166" s="1" t="n">
        <v>45788</v>
      </c>
      <c r="D19166" t="inlineStr">
        <is>
          <t>VÄSTERBOTTENS LÄN</t>
        </is>
      </c>
      <c r="E19166" t="inlineStr">
        <is>
          <t>LYCKSELE</t>
        </is>
      </c>
      <c r="F19166" t="inlineStr">
        <is>
          <t>SCA</t>
        </is>
      </c>
      <c r="G19166" t="n">
        <v>6.5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21144-2025</t>
        </is>
      </c>
      <c r="B19167" s="1" t="n">
        <v>45779</v>
      </c>
      <c r="C19167" s="1" t="n">
        <v>45788</v>
      </c>
      <c r="D19167" t="inlineStr">
        <is>
          <t>VÄSTERBOTTENS LÄN</t>
        </is>
      </c>
      <c r="E19167" t="inlineStr">
        <is>
          <t>ROBERTSFORS</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21207-2025</t>
        </is>
      </c>
      <c r="B19168" s="1" t="n">
        <v>45779</v>
      </c>
      <c r="C19168" s="1" t="n">
        <v>45788</v>
      </c>
      <c r="D19168" t="inlineStr">
        <is>
          <t>VÄSTERBOTTENS LÄN</t>
        </is>
      </c>
      <c r="E19168" t="inlineStr">
        <is>
          <t>SKELLEFTEÅ</t>
        </is>
      </c>
      <c r="F19168" t="inlineStr">
        <is>
          <t>Holmen skog AB</t>
        </is>
      </c>
      <c r="G19168" t="n">
        <v>4.8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21265-2025</t>
        </is>
      </c>
      <c r="B19169" s="1" t="n">
        <v>45779</v>
      </c>
      <c r="C19169" s="1" t="n">
        <v>45788</v>
      </c>
      <c r="D19169" t="inlineStr">
        <is>
          <t>VÄSTERBOTTENS LÄN</t>
        </is>
      </c>
      <c r="E19169" t="inlineStr">
        <is>
          <t>DOROTEA</t>
        </is>
      </c>
      <c r="F19169" t="inlineStr">
        <is>
          <t>SCA</t>
        </is>
      </c>
      <c r="G19169" t="n">
        <v>3.1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21266-2025</t>
        </is>
      </c>
      <c r="B19170" s="1" t="n">
        <v>45779</v>
      </c>
      <c r="C19170" s="1" t="n">
        <v>45788</v>
      </c>
      <c r="D19170" t="inlineStr">
        <is>
          <t>VÄSTERBOTTENS LÄN</t>
        </is>
      </c>
      <c r="E19170" t="inlineStr">
        <is>
          <t>LYCKSELE</t>
        </is>
      </c>
      <c r="F19170" t="inlineStr">
        <is>
          <t>SCA</t>
        </is>
      </c>
      <c r="G19170" t="n">
        <v>3.3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21143-2025</t>
        </is>
      </c>
      <c r="B19171" s="1" t="n">
        <v>45779</v>
      </c>
      <c r="C19171" s="1" t="n">
        <v>45788</v>
      </c>
      <c r="D19171" t="inlineStr">
        <is>
          <t>VÄSTERBOTTENS LÄN</t>
        </is>
      </c>
      <c r="E19171" t="inlineStr">
        <is>
          <t>ROBERTSFORS</t>
        </is>
      </c>
      <c r="G19171" t="n">
        <v>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21204-2025</t>
        </is>
      </c>
      <c r="B19172" s="1" t="n">
        <v>45779</v>
      </c>
      <c r="C19172" s="1" t="n">
        <v>45788</v>
      </c>
      <c r="D19172" t="inlineStr">
        <is>
          <t>VÄSTERBOTTENS LÄN</t>
        </is>
      </c>
      <c r="E19172" t="inlineStr">
        <is>
          <t>VILHELMINA</t>
        </is>
      </c>
      <c r="F19172" t="inlineStr">
        <is>
          <t>Allmännings- och besparingsskogar</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21148-2025</t>
        </is>
      </c>
      <c r="B19173" s="1" t="n">
        <v>45779</v>
      </c>
      <c r="C19173" s="1" t="n">
        <v>45788</v>
      </c>
      <c r="D19173" t="inlineStr">
        <is>
          <t>VÄSTERBOTTENS LÄN</t>
        </is>
      </c>
      <c r="E19173" t="inlineStr">
        <is>
          <t>ROBERTSFORS</t>
        </is>
      </c>
      <c r="G19173" t="n">
        <v>7.5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21171-2025</t>
        </is>
      </c>
      <c r="B19174" s="1" t="n">
        <v>45779</v>
      </c>
      <c r="C19174" s="1" t="n">
        <v>45788</v>
      </c>
      <c r="D19174" t="inlineStr">
        <is>
          <t>VÄSTERBOTTENS LÄN</t>
        </is>
      </c>
      <c r="E19174" t="inlineStr">
        <is>
          <t>LYCKSELE</t>
        </is>
      </c>
      <c r="F19174" t="inlineStr">
        <is>
          <t>Sveaskog</t>
        </is>
      </c>
      <c r="G19174" t="n">
        <v>4.9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21272-2025</t>
        </is>
      </c>
      <c r="B19175" s="1" t="n">
        <v>45779</v>
      </c>
      <c r="C19175" s="1" t="n">
        <v>45788</v>
      </c>
      <c r="D19175" t="inlineStr">
        <is>
          <t>VÄSTERBOTTENS LÄN</t>
        </is>
      </c>
      <c r="E19175" t="inlineStr">
        <is>
          <t>SKELLEFTEÅ</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21186-2025</t>
        </is>
      </c>
      <c r="B19176" s="1" t="n">
        <v>45779</v>
      </c>
      <c r="C19176" s="1" t="n">
        <v>45788</v>
      </c>
      <c r="D19176" t="inlineStr">
        <is>
          <t>VÄSTERBOTTENS LÄN</t>
        </is>
      </c>
      <c r="E19176" t="inlineStr">
        <is>
          <t>VINDELN</t>
        </is>
      </c>
      <c r="F19176" t="inlineStr">
        <is>
          <t>Sveaskog</t>
        </is>
      </c>
      <c r="G19176" t="n">
        <v>16.6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21219-2025</t>
        </is>
      </c>
      <c r="B19177" s="1" t="n">
        <v>45779</v>
      </c>
      <c r="C19177" s="1" t="n">
        <v>45788</v>
      </c>
      <c r="D19177" t="inlineStr">
        <is>
          <t>VÄSTERBOTTENS LÄN</t>
        </is>
      </c>
      <c r="E19177" t="inlineStr">
        <is>
          <t>ÅSELE</t>
        </is>
      </c>
      <c r="F19177" t="inlineStr">
        <is>
          <t>Holmen skog AB</t>
        </is>
      </c>
      <c r="G19177" t="n">
        <v>4.6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21289-2025</t>
        </is>
      </c>
      <c r="B19178" s="1" t="n">
        <v>45779</v>
      </c>
      <c r="C19178" s="1" t="n">
        <v>45788</v>
      </c>
      <c r="D19178" t="inlineStr">
        <is>
          <t>VÄSTERBOTTENS LÄN</t>
        </is>
      </c>
      <c r="E19178" t="inlineStr">
        <is>
          <t>LYCKSELE</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21190-2025</t>
        </is>
      </c>
      <c r="B19179" s="1" t="n">
        <v>45779</v>
      </c>
      <c r="C19179" s="1" t="n">
        <v>45788</v>
      </c>
      <c r="D19179" t="inlineStr">
        <is>
          <t>VÄSTERBOTTENS LÄN</t>
        </is>
      </c>
      <c r="E19179" t="inlineStr">
        <is>
          <t>SKELLEFTEÅ</t>
        </is>
      </c>
      <c r="F19179" t="inlineStr">
        <is>
          <t>Holmen skog AB</t>
        </is>
      </c>
      <c r="G19179" t="n">
        <v>2.1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21205-2025</t>
        </is>
      </c>
      <c r="B19180" s="1" t="n">
        <v>45779</v>
      </c>
      <c r="C19180" s="1" t="n">
        <v>45788</v>
      </c>
      <c r="D19180" t="inlineStr">
        <is>
          <t>VÄSTERBOTTENS LÄN</t>
        </is>
      </c>
      <c r="E19180" t="inlineStr">
        <is>
          <t>VILHELMINA</t>
        </is>
      </c>
      <c r="F19180" t="inlineStr">
        <is>
          <t>Allmännings- och besparingsskogar</t>
        </is>
      </c>
      <c r="G19180" t="n">
        <v>6.2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21215-2025</t>
        </is>
      </c>
      <c r="B19181" s="1" t="n">
        <v>45779</v>
      </c>
      <c r="C19181" s="1" t="n">
        <v>45788</v>
      </c>
      <c r="D19181" t="inlineStr">
        <is>
          <t>VÄSTERBOTTENS LÄN</t>
        </is>
      </c>
      <c r="E19181" t="inlineStr">
        <is>
          <t>DOROTEA</t>
        </is>
      </c>
      <c r="F19181" t="inlineStr">
        <is>
          <t>SCA</t>
        </is>
      </c>
      <c r="G19181" t="n">
        <v>6.1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21194-2025</t>
        </is>
      </c>
      <c r="B19182" s="1" t="n">
        <v>45779</v>
      </c>
      <c r="C19182" s="1" t="n">
        <v>45788</v>
      </c>
      <c r="D19182" t="inlineStr">
        <is>
          <t>VÄSTERBOTTENS LÄN</t>
        </is>
      </c>
      <c r="E19182" t="inlineStr">
        <is>
          <t>ÅSELE</t>
        </is>
      </c>
      <c r="F19182" t="inlineStr">
        <is>
          <t>Allmännings- och besparingsskogar</t>
        </is>
      </c>
      <c r="G19182" t="n">
        <v>26.2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21228-2025</t>
        </is>
      </c>
      <c r="B19183" s="1" t="n">
        <v>45779</v>
      </c>
      <c r="C19183" s="1" t="n">
        <v>45788</v>
      </c>
      <c r="D19183" t="inlineStr">
        <is>
          <t>VÄSTERBOTTENS LÄN</t>
        </is>
      </c>
      <c r="E19183" t="inlineStr">
        <is>
          <t>UMEÅ</t>
        </is>
      </c>
      <c r="F19183" t="inlineStr">
        <is>
          <t>Holmen skog AB</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21198-2025</t>
        </is>
      </c>
      <c r="B19184" s="1" t="n">
        <v>45779</v>
      </c>
      <c r="C19184" s="1" t="n">
        <v>45788</v>
      </c>
      <c r="D19184" t="inlineStr">
        <is>
          <t>VÄSTERBOTTENS LÄN</t>
        </is>
      </c>
      <c r="E19184" t="inlineStr">
        <is>
          <t>ÅSELE</t>
        </is>
      </c>
      <c r="F19184" t="inlineStr">
        <is>
          <t>Allmännings- och besparingsskogar</t>
        </is>
      </c>
      <c r="G19184" t="n">
        <v>5.9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21222-2025</t>
        </is>
      </c>
      <c r="B19185" s="1" t="n">
        <v>45779</v>
      </c>
      <c r="C19185" s="1" t="n">
        <v>45788</v>
      </c>
      <c r="D19185" t="inlineStr">
        <is>
          <t>VÄSTERBOTTENS LÄN</t>
        </is>
      </c>
      <c r="E19185" t="inlineStr">
        <is>
          <t>SKELLEFTEÅ</t>
        </is>
      </c>
      <c r="G19185" t="n">
        <v>4.4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21145-2025</t>
        </is>
      </c>
      <c r="B19186" s="1" t="n">
        <v>45779</v>
      </c>
      <c r="C19186" s="1" t="n">
        <v>45788</v>
      </c>
      <c r="D19186" t="inlineStr">
        <is>
          <t>VÄSTERBOTTENS LÄN</t>
        </is>
      </c>
      <c r="E19186" t="inlineStr">
        <is>
          <t>ROBERTSFORS</t>
        </is>
      </c>
      <c r="G19186" t="n">
        <v>4.8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21151-2025</t>
        </is>
      </c>
      <c r="B19187" s="1" t="n">
        <v>45779</v>
      </c>
      <c r="C19187" s="1" t="n">
        <v>45788</v>
      </c>
      <c r="D19187" t="inlineStr">
        <is>
          <t>VÄSTERBOTTENS LÄN</t>
        </is>
      </c>
      <c r="E19187" t="inlineStr">
        <is>
          <t>VINDELN</t>
        </is>
      </c>
      <c r="F19187" t="inlineStr">
        <is>
          <t>Holmen skog AB</t>
        </is>
      </c>
      <c r="G19187" t="n">
        <v>9.199999999999999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21320-2025</t>
        </is>
      </c>
      <c r="B19188" s="1" t="n">
        <v>45782</v>
      </c>
      <c r="C19188" s="1" t="n">
        <v>45788</v>
      </c>
      <c r="D19188" t="inlineStr">
        <is>
          <t>VÄSTERBOTTENS LÄN</t>
        </is>
      </c>
      <c r="E19188" t="inlineStr">
        <is>
          <t>DOROTEA</t>
        </is>
      </c>
      <c r="F19188" t="inlineStr">
        <is>
          <t>SCA</t>
        </is>
      </c>
      <c r="G19188" t="n">
        <v>3.6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21343-2025</t>
        </is>
      </c>
      <c r="B19189" s="1" t="n">
        <v>45782</v>
      </c>
      <c r="C19189" s="1" t="n">
        <v>45788</v>
      </c>
      <c r="D19189" t="inlineStr">
        <is>
          <t>VÄSTERBOTTENS LÄN</t>
        </is>
      </c>
      <c r="E19189" t="inlineStr">
        <is>
          <t>SKELLEFTEÅ</t>
        </is>
      </c>
      <c r="G19189" t="n">
        <v>5.3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21375-2025</t>
        </is>
      </c>
      <c r="B19190" s="1" t="n">
        <v>45782</v>
      </c>
      <c r="C19190" s="1" t="n">
        <v>45788</v>
      </c>
      <c r="D19190" t="inlineStr">
        <is>
          <t>VÄSTERBOTTENS LÄN</t>
        </is>
      </c>
      <c r="E19190" t="inlineStr">
        <is>
          <t>SORSELE</t>
        </is>
      </c>
      <c r="F19190" t="inlineStr">
        <is>
          <t>SCA</t>
        </is>
      </c>
      <c r="G19190" t="n">
        <v>5.9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21404-2025</t>
        </is>
      </c>
      <c r="B19191" s="1" t="n">
        <v>45782</v>
      </c>
      <c r="C19191" s="1" t="n">
        <v>45788</v>
      </c>
      <c r="D19191" t="inlineStr">
        <is>
          <t>VÄSTERBOTTENS LÄN</t>
        </is>
      </c>
      <c r="E19191" t="inlineStr">
        <is>
          <t>DOROTEA</t>
        </is>
      </c>
      <c r="F19191" t="inlineStr">
        <is>
          <t>SCA</t>
        </is>
      </c>
      <c r="G19191" t="n">
        <v>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21381-2025</t>
        </is>
      </c>
      <c r="B19192" s="1" t="n">
        <v>45782</v>
      </c>
      <c r="C19192" s="1" t="n">
        <v>45788</v>
      </c>
      <c r="D19192" t="inlineStr">
        <is>
          <t>VÄSTERBOTTENS LÄN</t>
        </is>
      </c>
      <c r="E19192" t="inlineStr">
        <is>
          <t>SKELLEFTEÅ</t>
        </is>
      </c>
      <c r="F19192" t="inlineStr">
        <is>
          <t>Holmen skog AB</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21424-2025</t>
        </is>
      </c>
      <c r="B19193" s="1" t="n">
        <v>45782</v>
      </c>
      <c r="C19193" s="1" t="n">
        <v>45788</v>
      </c>
      <c r="D19193" t="inlineStr">
        <is>
          <t>VÄSTERBOTTENS LÄN</t>
        </is>
      </c>
      <c r="E19193" t="inlineStr">
        <is>
          <t>SKELLEFTEÅ</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21410-2025</t>
        </is>
      </c>
      <c r="B19194" s="1" t="n">
        <v>45782</v>
      </c>
      <c r="C19194" s="1" t="n">
        <v>45788</v>
      </c>
      <c r="D19194" t="inlineStr">
        <is>
          <t>VÄSTERBOTTENS LÄN</t>
        </is>
      </c>
      <c r="E19194" t="inlineStr">
        <is>
          <t>VILHELMINA</t>
        </is>
      </c>
      <c r="F19194" t="inlineStr">
        <is>
          <t>SCA</t>
        </is>
      </c>
      <c r="G19194" t="n">
        <v>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21482-2025</t>
        </is>
      </c>
      <c r="B19195" s="1" t="n">
        <v>45782</v>
      </c>
      <c r="C19195" s="1" t="n">
        <v>45788</v>
      </c>
      <c r="D19195" t="inlineStr">
        <is>
          <t>VÄSTERBOTTENS LÄN</t>
        </is>
      </c>
      <c r="E19195" t="inlineStr">
        <is>
          <t>DOROTEA</t>
        </is>
      </c>
      <c r="F19195" t="inlineStr">
        <is>
          <t>SCA</t>
        </is>
      </c>
      <c r="G19195" t="n">
        <v>4.3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21448-2025</t>
        </is>
      </c>
      <c r="B19196" s="1" t="n">
        <v>45782</v>
      </c>
      <c r="C19196" s="1" t="n">
        <v>45788</v>
      </c>
      <c r="D19196" t="inlineStr">
        <is>
          <t>VÄSTERBOTTENS LÄN</t>
        </is>
      </c>
      <c r="E19196" t="inlineStr">
        <is>
          <t>VILHELMINA</t>
        </is>
      </c>
      <c r="F19196" t="inlineStr">
        <is>
          <t>SCA</t>
        </is>
      </c>
      <c r="G19196" t="n">
        <v>9.699999999999999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21514-2025</t>
        </is>
      </c>
      <c r="B19197" s="1" t="n">
        <v>45782</v>
      </c>
      <c r="C19197" s="1" t="n">
        <v>45788</v>
      </c>
      <c r="D19197" t="inlineStr">
        <is>
          <t>VÄSTERBOTTENS LÄN</t>
        </is>
      </c>
      <c r="E19197" t="inlineStr">
        <is>
          <t>UMEÅ</t>
        </is>
      </c>
      <c r="G19197" t="n">
        <v>4.4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21572-2025</t>
        </is>
      </c>
      <c r="B19198" s="1" t="n">
        <v>45782</v>
      </c>
      <c r="C19198" s="1" t="n">
        <v>45788</v>
      </c>
      <c r="D19198" t="inlineStr">
        <is>
          <t>VÄSTERBOTTENS LÄN</t>
        </is>
      </c>
      <c r="E19198" t="inlineStr">
        <is>
          <t>ROBERTSFORS</t>
        </is>
      </c>
      <c r="G19198" t="n">
        <v>5.3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21509-2025</t>
        </is>
      </c>
      <c r="B19199" s="1" t="n">
        <v>45782</v>
      </c>
      <c r="C19199" s="1" t="n">
        <v>45788</v>
      </c>
      <c r="D19199" t="inlineStr">
        <is>
          <t>VÄSTERBOTTENS LÄN</t>
        </is>
      </c>
      <c r="E19199" t="inlineStr">
        <is>
          <t>LYCKSELE</t>
        </is>
      </c>
      <c r="F19199" t="inlineStr">
        <is>
          <t>Sveaskog</t>
        </is>
      </c>
      <c r="G19199" t="n">
        <v>13.3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21316-2025</t>
        </is>
      </c>
      <c r="B19200" s="1" t="n">
        <v>45782</v>
      </c>
      <c r="C19200" s="1" t="n">
        <v>45788</v>
      </c>
      <c r="D19200" t="inlineStr">
        <is>
          <t>VÄSTERBOTTENS LÄN</t>
        </is>
      </c>
      <c r="E19200" t="inlineStr">
        <is>
          <t>SKELLEFTEÅ</t>
        </is>
      </c>
      <c r="F19200" t="inlineStr">
        <is>
          <t>Kommuner</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21510-2025</t>
        </is>
      </c>
      <c r="B19201" s="1" t="n">
        <v>45782</v>
      </c>
      <c r="C19201" s="1" t="n">
        <v>45788</v>
      </c>
      <c r="D19201" t="inlineStr">
        <is>
          <t>VÄSTERBOTTENS LÄN</t>
        </is>
      </c>
      <c r="E19201" t="inlineStr">
        <is>
          <t>VINDELN</t>
        </is>
      </c>
      <c r="F19201" t="inlineStr">
        <is>
          <t>Holmen skog AB</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21361-2025</t>
        </is>
      </c>
      <c r="B19202" s="1" t="n">
        <v>45782</v>
      </c>
      <c r="C19202" s="1" t="n">
        <v>45788</v>
      </c>
      <c r="D19202" t="inlineStr">
        <is>
          <t>VÄSTERBOTTENS LÄN</t>
        </is>
      </c>
      <c r="E19202" t="inlineStr">
        <is>
          <t>VÄNNÄS</t>
        </is>
      </c>
      <c r="G19202" t="n">
        <v>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21371-2025</t>
        </is>
      </c>
      <c r="B19203" s="1" t="n">
        <v>45782</v>
      </c>
      <c r="C19203" s="1" t="n">
        <v>45788</v>
      </c>
      <c r="D19203" t="inlineStr">
        <is>
          <t>VÄSTERBOTTENS LÄN</t>
        </is>
      </c>
      <c r="E19203" t="inlineStr">
        <is>
          <t>SORSELE</t>
        </is>
      </c>
      <c r="F19203" t="inlineStr">
        <is>
          <t>SCA</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21420-2025</t>
        </is>
      </c>
      <c r="B19204" s="1" t="n">
        <v>45782</v>
      </c>
      <c r="C19204" s="1" t="n">
        <v>45788</v>
      </c>
      <c r="D19204" t="inlineStr">
        <is>
          <t>VÄSTERBOTTENS LÄN</t>
        </is>
      </c>
      <c r="E19204" t="inlineStr">
        <is>
          <t>SKELLEFTEÅ</t>
        </is>
      </c>
      <c r="G19204" t="n">
        <v>1.1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21437-2025</t>
        </is>
      </c>
      <c r="B19205" s="1" t="n">
        <v>45782</v>
      </c>
      <c r="C19205" s="1" t="n">
        <v>45788</v>
      </c>
      <c r="D19205" t="inlineStr">
        <is>
          <t>VÄSTERBOTTENS LÄN</t>
        </is>
      </c>
      <c r="E19205" t="inlineStr">
        <is>
          <t>VÄNNÄS</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21435-2025</t>
        </is>
      </c>
      <c r="B19206" s="1" t="n">
        <v>45782</v>
      </c>
      <c r="C19206" s="1" t="n">
        <v>45788</v>
      </c>
      <c r="D19206" t="inlineStr">
        <is>
          <t>VÄSTERBOTTENS LÄN</t>
        </is>
      </c>
      <c r="E19206" t="inlineStr">
        <is>
          <t>VÄNNÄS</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21427-2025</t>
        </is>
      </c>
      <c r="B19207" s="1" t="n">
        <v>45782</v>
      </c>
      <c r="C19207" s="1" t="n">
        <v>45788</v>
      </c>
      <c r="D19207" t="inlineStr">
        <is>
          <t>VÄSTERBOTTENS LÄN</t>
        </is>
      </c>
      <c r="E19207" t="inlineStr">
        <is>
          <t>SKELLEFTEÅ</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21374-2025</t>
        </is>
      </c>
      <c r="B19208" s="1" t="n">
        <v>45782</v>
      </c>
      <c r="C19208" s="1" t="n">
        <v>45788</v>
      </c>
      <c r="D19208" t="inlineStr">
        <is>
          <t>VÄSTERBOTTENS LÄN</t>
        </is>
      </c>
      <c r="E19208" t="inlineStr">
        <is>
          <t>LYCKSELE</t>
        </is>
      </c>
      <c r="F19208" t="inlineStr">
        <is>
          <t>SCA</t>
        </is>
      </c>
      <c r="G19208" t="n">
        <v>3.1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21350-2025</t>
        </is>
      </c>
      <c r="B19209" s="1" t="n">
        <v>45782</v>
      </c>
      <c r="C19209" s="1" t="n">
        <v>45788</v>
      </c>
      <c r="D19209" t="inlineStr">
        <is>
          <t>VÄSTERBOTTENS LÄN</t>
        </is>
      </c>
      <c r="E19209" t="inlineStr">
        <is>
          <t>SKELLEFTEÅ</t>
        </is>
      </c>
      <c r="F19209" t="inlineStr">
        <is>
          <t>Holmen skog AB</t>
        </is>
      </c>
      <c r="G19209" t="n">
        <v>3.5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21397-2025</t>
        </is>
      </c>
      <c r="B19210" s="1" t="n">
        <v>45782</v>
      </c>
      <c r="C19210" s="1" t="n">
        <v>45788</v>
      </c>
      <c r="D19210" t="inlineStr">
        <is>
          <t>VÄSTERBOTTENS LÄN</t>
        </is>
      </c>
      <c r="E19210" t="inlineStr">
        <is>
          <t>ROBERTSFORS</t>
        </is>
      </c>
      <c r="G19210" t="n">
        <v>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21411-2025</t>
        </is>
      </c>
      <c r="B19211" s="1" t="n">
        <v>45782</v>
      </c>
      <c r="C19211" s="1" t="n">
        <v>45788</v>
      </c>
      <c r="D19211" t="inlineStr">
        <is>
          <t>VÄSTERBOTTENS LÄN</t>
        </is>
      </c>
      <c r="E19211" t="inlineStr">
        <is>
          <t>DOROTEA</t>
        </is>
      </c>
      <c r="F19211" t="inlineStr">
        <is>
          <t>SCA</t>
        </is>
      </c>
      <c r="G19211" t="n">
        <v>3.8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21701-2025</t>
        </is>
      </c>
      <c r="B19212" s="1" t="n">
        <v>45783</v>
      </c>
      <c r="C19212" s="1" t="n">
        <v>45788</v>
      </c>
      <c r="D19212" t="inlineStr">
        <is>
          <t>VÄSTERBOTTENS LÄN</t>
        </is>
      </c>
      <c r="E19212" t="inlineStr">
        <is>
          <t>DOROTEA</t>
        </is>
      </c>
      <c r="F19212" t="inlineStr">
        <is>
          <t>SCA</t>
        </is>
      </c>
      <c r="G19212" t="n">
        <v>10</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21711-2025</t>
        </is>
      </c>
      <c r="B19213" s="1" t="n">
        <v>45783</v>
      </c>
      <c r="C19213" s="1" t="n">
        <v>45788</v>
      </c>
      <c r="D19213" t="inlineStr">
        <is>
          <t>VÄSTERBOTTENS LÄN</t>
        </is>
      </c>
      <c r="E19213" t="inlineStr">
        <is>
          <t>VÄNNÄS</t>
        </is>
      </c>
      <c r="F19213" t="inlineStr">
        <is>
          <t>Holmen skog AB</t>
        </is>
      </c>
      <c r="G19213" t="n">
        <v>3.7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21794-2025</t>
        </is>
      </c>
      <c r="B19214" s="1" t="n">
        <v>45783</v>
      </c>
      <c r="C19214" s="1" t="n">
        <v>45788</v>
      </c>
      <c r="D19214" t="inlineStr">
        <is>
          <t>VÄSTERBOTTENS LÄN</t>
        </is>
      </c>
      <c r="E19214" t="inlineStr">
        <is>
          <t>UMEÅ</t>
        </is>
      </c>
      <c r="G19214" t="n">
        <v>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21610-2025</t>
        </is>
      </c>
      <c r="B19215" s="1" t="n">
        <v>45783</v>
      </c>
      <c r="C19215" s="1" t="n">
        <v>45788</v>
      </c>
      <c r="D19215" t="inlineStr">
        <is>
          <t>VÄSTERBOTTENS LÄN</t>
        </is>
      </c>
      <c r="E19215" t="inlineStr">
        <is>
          <t>UMEÅ</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21595-2025</t>
        </is>
      </c>
      <c r="B19216" s="1" t="n">
        <v>45783</v>
      </c>
      <c r="C19216" s="1" t="n">
        <v>45788</v>
      </c>
      <c r="D19216" t="inlineStr">
        <is>
          <t>VÄSTERBOTTENS LÄN</t>
        </is>
      </c>
      <c r="E19216" t="inlineStr">
        <is>
          <t>SKELLEFTEÅ</t>
        </is>
      </c>
      <c r="F19216" t="inlineStr">
        <is>
          <t>SCA</t>
        </is>
      </c>
      <c r="G19216" t="n">
        <v>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21700-2025</t>
        </is>
      </c>
      <c r="B19217" s="1" t="n">
        <v>45783</v>
      </c>
      <c r="C19217" s="1" t="n">
        <v>45788</v>
      </c>
      <c r="D19217" t="inlineStr">
        <is>
          <t>VÄSTERBOTTENS LÄN</t>
        </is>
      </c>
      <c r="E19217" t="inlineStr">
        <is>
          <t>VINDELN</t>
        </is>
      </c>
      <c r="F19217" t="inlineStr">
        <is>
          <t>SCA</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21733-2025</t>
        </is>
      </c>
      <c r="B19218" s="1" t="n">
        <v>45783</v>
      </c>
      <c r="C19218" s="1" t="n">
        <v>45788</v>
      </c>
      <c r="D19218" t="inlineStr">
        <is>
          <t>VÄSTERBOTTENS LÄN</t>
        </is>
      </c>
      <c r="E19218" t="inlineStr">
        <is>
          <t>NORDMALING</t>
        </is>
      </c>
      <c r="G19218" t="n">
        <v>2.5</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21800-2025</t>
        </is>
      </c>
      <c r="B19219" s="1" t="n">
        <v>45783</v>
      </c>
      <c r="C19219" s="1" t="n">
        <v>45788</v>
      </c>
      <c r="D19219" t="inlineStr">
        <is>
          <t>VÄSTERBOTTENS LÄN</t>
        </is>
      </c>
      <c r="E19219" t="inlineStr">
        <is>
          <t>UMEÅ</t>
        </is>
      </c>
      <c r="F19219" t="inlineStr">
        <is>
          <t>Kyrkan</t>
        </is>
      </c>
      <c r="G19219" t="n">
        <v>2.4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21590-2025</t>
        </is>
      </c>
      <c r="B19220" s="1" t="n">
        <v>45783</v>
      </c>
      <c r="C19220" s="1" t="n">
        <v>45788</v>
      </c>
      <c r="D19220" t="inlineStr">
        <is>
          <t>VÄSTERBOTTENS LÄN</t>
        </is>
      </c>
      <c r="E19220" t="inlineStr">
        <is>
          <t>SKELLEFTEÅ</t>
        </is>
      </c>
      <c r="F19220" t="inlineStr">
        <is>
          <t>Kommuner</t>
        </is>
      </c>
      <c r="G19220" t="n">
        <v>7.2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21619-2025</t>
        </is>
      </c>
      <c r="B19221" s="1" t="n">
        <v>45783</v>
      </c>
      <c r="C19221" s="1" t="n">
        <v>45788</v>
      </c>
      <c r="D19221" t="inlineStr">
        <is>
          <t>VÄSTERBOTTENS LÄN</t>
        </is>
      </c>
      <c r="E19221" t="inlineStr">
        <is>
          <t>SKELLEFTEÅ</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21631-2025</t>
        </is>
      </c>
      <c r="B19222" s="1" t="n">
        <v>45783</v>
      </c>
      <c r="C19222" s="1" t="n">
        <v>45788</v>
      </c>
      <c r="D19222" t="inlineStr">
        <is>
          <t>VÄSTERBOTTENS LÄN</t>
        </is>
      </c>
      <c r="E19222" t="inlineStr">
        <is>
          <t>UMEÅ</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21655-2025</t>
        </is>
      </c>
      <c r="B19223" s="1" t="n">
        <v>45783</v>
      </c>
      <c r="C19223" s="1" t="n">
        <v>45788</v>
      </c>
      <c r="D19223" t="inlineStr">
        <is>
          <t>VÄSTERBOTTENS LÄN</t>
        </is>
      </c>
      <c r="E19223" t="inlineStr">
        <is>
          <t>LYCKSELE</t>
        </is>
      </c>
      <c r="F19223" t="inlineStr">
        <is>
          <t>Holmen skog AB</t>
        </is>
      </c>
      <c r="G19223" t="n">
        <v>3.4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21623-2025</t>
        </is>
      </c>
      <c r="B19224" s="1" t="n">
        <v>45783</v>
      </c>
      <c r="C19224" s="1" t="n">
        <v>45788</v>
      </c>
      <c r="D19224" t="inlineStr">
        <is>
          <t>VÄSTERBOTTENS LÄN</t>
        </is>
      </c>
      <c r="E19224" t="inlineStr">
        <is>
          <t>VILHELMINA</t>
        </is>
      </c>
      <c r="F19224" t="inlineStr">
        <is>
          <t>SCA</t>
        </is>
      </c>
      <c r="G19224" t="n">
        <v>8.300000000000001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21650-2025</t>
        </is>
      </c>
      <c r="B19225" s="1" t="n">
        <v>45783</v>
      </c>
      <c r="C19225" s="1" t="n">
        <v>45788</v>
      </c>
      <c r="D19225" t="inlineStr">
        <is>
          <t>VÄSTERBOTTENS LÄN</t>
        </is>
      </c>
      <c r="E19225" t="inlineStr">
        <is>
          <t>VINDELN</t>
        </is>
      </c>
      <c r="F19225" t="inlineStr">
        <is>
          <t>Holmen skog AB</t>
        </is>
      </c>
      <c r="G19225" t="n">
        <v>4.6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21662-2025</t>
        </is>
      </c>
      <c r="B19226" s="1" t="n">
        <v>45783</v>
      </c>
      <c r="C19226" s="1" t="n">
        <v>45788</v>
      </c>
      <c r="D19226" t="inlineStr">
        <is>
          <t>VÄSTERBOTTENS LÄN</t>
        </is>
      </c>
      <c r="E19226" t="inlineStr">
        <is>
          <t>STORUMAN</t>
        </is>
      </c>
      <c r="G19226" t="n">
        <v>47.2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21750-2025</t>
        </is>
      </c>
      <c r="B19227" s="1" t="n">
        <v>45783</v>
      </c>
      <c r="C19227" s="1" t="n">
        <v>45788</v>
      </c>
      <c r="D19227" t="inlineStr">
        <is>
          <t>VÄSTERBOTTENS LÄN</t>
        </is>
      </c>
      <c r="E19227" t="inlineStr">
        <is>
          <t>SKELLEFTEÅ</t>
        </is>
      </c>
      <c r="F19227" t="inlineStr">
        <is>
          <t>Kyrkan</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21755-2025</t>
        </is>
      </c>
      <c r="B19228" s="1" t="n">
        <v>45783</v>
      </c>
      <c r="C19228" s="1" t="n">
        <v>45788</v>
      </c>
      <c r="D19228" t="inlineStr">
        <is>
          <t>VÄSTERBOTTENS LÄN</t>
        </is>
      </c>
      <c r="E19228" t="inlineStr">
        <is>
          <t>SKELLEFTEÅ</t>
        </is>
      </c>
      <c r="G19228" t="n">
        <v>13.6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21670-2025</t>
        </is>
      </c>
      <c r="B19229" s="1" t="n">
        <v>45783</v>
      </c>
      <c r="C19229" s="1" t="n">
        <v>45788</v>
      </c>
      <c r="D19229" t="inlineStr">
        <is>
          <t>VÄSTERBOTTENS LÄN</t>
        </is>
      </c>
      <c r="E19229" t="inlineStr">
        <is>
          <t>VILHELMINA</t>
        </is>
      </c>
      <c r="F19229" t="inlineStr">
        <is>
          <t>SCA</t>
        </is>
      </c>
      <c r="G19229" t="n">
        <v>3.4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21615-2025</t>
        </is>
      </c>
      <c r="B19230" s="1" t="n">
        <v>45783</v>
      </c>
      <c r="C19230" s="1" t="n">
        <v>45788</v>
      </c>
      <c r="D19230" t="inlineStr">
        <is>
          <t>VÄSTERBOTTENS LÄN</t>
        </is>
      </c>
      <c r="E19230" t="inlineStr">
        <is>
          <t>VÄNNÄS</t>
        </is>
      </c>
      <c r="F19230" t="inlineStr">
        <is>
          <t>Holmen skog AB</t>
        </is>
      </c>
      <c r="G19230" t="n">
        <v>5.4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21743-2025</t>
        </is>
      </c>
      <c r="B19231" s="1" t="n">
        <v>45783</v>
      </c>
      <c r="C19231" s="1" t="n">
        <v>45788</v>
      </c>
      <c r="D19231" t="inlineStr">
        <is>
          <t>VÄSTERBOTTENS LÄN</t>
        </is>
      </c>
      <c r="E19231" t="inlineStr">
        <is>
          <t>SORSELE</t>
        </is>
      </c>
      <c r="G19231" t="n">
        <v>5.2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21608-2025</t>
        </is>
      </c>
      <c r="B19232" s="1" t="n">
        <v>45783</v>
      </c>
      <c r="C19232" s="1" t="n">
        <v>45788</v>
      </c>
      <c r="D19232" t="inlineStr">
        <is>
          <t>VÄSTERBOTTENS LÄN</t>
        </is>
      </c>
      <c r="E19232" t="inlineStr">
        <is>
          <t>UMEÅ</t>
        </is>
      </c>
      <c r="G19232" t="n">
        <v>4.4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21612-2025</t>
        </is>
      </c>
      <c r="B19233" s="1" t="n">
        <v>45783</v>
      </c>
      <c r="C19233" s="1" t="n">
        <v>45788</v>
      </c>
      <c r="D19233" t="inlineStr">
        <is>
          <t>VÄSTERBOTTENS LÄN</t>
        </is>
      </c>
      <c r="E19233" t="inlineStr">
        <is>
          <t>UMEÅ</t>
        </is>
      </c>
      <c r="G19233" t="n">
        <v>8.199999999999999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21622-2025</t>
        </is>
      </c>
      <c r="B19234" s="1" t="n">
        <v>45783</v>
      </c>
      <c r="C19234" s="1" t="n">
        <v>45788</v>
      </c>
      <c r="D19234" t="inlineStr">
        <is>
          <t>VÄSTERBOTTENS LÄN</t>
        </is>
      </c>
      <c r="E19234" t="inlineStr">
        <is>
          <t>DOROTEA</t>
        </is>
      </c>
      <c r="F19234" t="inlineStr">
        <is>
          <t>SCA</t>
        </is>
      </c>
      <c r="G19234" t="n">
        <v>11.8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21714-2025</t>
        </is>
      </c>
      <c r="B19235" s="1" t="n">
        <v>45783</v>
      </c>
      <c r="C19235" s="1" t="n">
        <v>45788</v>
      </c>
      <c r="D19235" t="inlineStr">
        <is>
          <t>VÄSTERBOTTENS LÄN</t>
        </is>
      </c>
      <c r="E19235" t="inlineStr">
        <is>
          <t>NORDMALING</t>
        </is>
      </c>
      <c r="G19235" t="n">
        <v>10.3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21736-2025</t>
        </is>
      </c>
      <c r="B19236" s="1" t="n">
        <v>45783</v>
      </c>
      <c r="C19236" s="1" t="n">
        <v>45788</v>
      </c>
      <c r="D19236" t="inlineStr">
        <is>
          <t>VÄSTERBOTTENS LÄN</t>
        </is>
      </c>
      <c r="E19236" t="inlineStr">
        <is>
          <t>NORDMALING</t>
        </is>
      </c>
      <c r="G19236" t="n">
        <v>0.3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21757-2025</t>
        </is>
      </c>
      <c r="B19237" s="1" t="n">
        <v>45783</v>
      </c>
      <c r="C19237" s="1" t="n">
        <v>45788</v>
      </c>
      <c r="D19237" t="inlineStr">
        <is>
          <t>VÄSTERBOTTENS LÄN</t>
        </is>
      </c>
      <c r="E19237" t="inlineStr">
        <is>
          <t>SKELLEFTEÅ</t>
        </is>
      </c>
      <c r="G19237" t="n">
        <v>0.9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21587-2025</t>
        </is>
      </c>
      <c r="B19238" s="1" t="n">
        <v>45783</v>
      </c>
      <c r="C19238" s="1" t="n">
        <v>45788</v>
      </c>
      <c r="D19238" t="inlineStr">
        <is>
          <t>VÄSTERBOTTENS LÄN</t>
        </is>
      </c>
      <c r="E19238" t="inlineStr">
        <is>
          <t>SKELLEFTEÅ</t>
        </is>
      </c>
      <c r="G19238" t="n">
        <v>0.4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21717-2025</t>
        </is>
      </c>
      <c r="B19239" s="1" t="n">
        <v>45783</v>
      </c>
      <c r="C19239" s="1" t="n">
        <v>45788</v>
      </c>
      <c r="D19239" t="inlineStr">
        <is>
          <t>VÄSTERBOTTENS LÄN</t>
        </is>
      </c>
      <c r="E19239" t="inlineStr">
        <is>
          <t>SKELLEFTEÅ</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21732-2025</t>
        </is>
      </c>
      <c r="B19240" s="1" t="n">
        <v>45783</v>
      </c>
      <c r="C19240" s="1" t="n">
        <v>45788</v>
      </c>
      <c r="D19240" t="inlineStr">
        <is>
          <t>VÄSTERBOTTENS LÄN</t>
        </is>
      </c>
      <c r="E19240" t="inlineStr">
        <is>
          <t>ROBERTSFORS</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21585-2025</t>
        </is>
      </c>
      <c r="B19241" s="1" t="n">
        <v>45783</v>
      </c>
      <c r="C19241" s="1" t="n">
        <v>45788</v>
      </c>
      <c r="D19241" t="inlineStr">
        <is>
          <t>VÄSTERBOTTENS LÄN</t>
        </is>
      </c>
      <c r="E19241" t="inlineStr">
        <is>
          <t>SKELLEFTEÅ</t>
        </is>
      </c>
      <c r="G19241" t="n">
        <v>0.3</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21620-2025</t>
        </is>
      </c>
      <c r="B19242" s="1" t="n">
        <v>45783</v>
      </c>
      <c r="C19242" s="1" t="n">
        <v>45788</v>
      </c>
      <c r="D19242" t="inlineStr">
        <is>
          <t>VÄSTERBOTTENS LÄN</t>
        </is>
      </c>
      <c r="E19242" t="inlineStr">
        <is>
          <t>SKELLEFTEÅ</t>
        </is>
      </c>
      <c r="G19242" t="n">
        <v>0.5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21727-2025</t>
        </is>
      </c>
      <c r="B19243" s="1" t="n">
        <v>45783</v>
      </c>
      <c r="C19243" s="1" t="n">
        <v>45788</v>
      </c>
      <c r="D19243" t="inlineStr">
        <is>
          <t>VÄSTERBOTTENS LÄN</t>
        </is>
      </c>
      <c r="E19243" t="inlineStr">
        <is>
          <t>LYCKSELE</t>
        </is>
      </c>
      <c r="F19243" t="inlineStr">
        <is>
          <t>SCA</t>
        </is>
      </c>
      <c r="G19243" t="n">
        <v>5.4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21795-2025</t>
        </is>
      </c>
      <c r="B19244" s="1" t="n">
        <v>45783</v>
      </c>
      <c r="C19244" s="1" t="n">
        <v>45788</v>
      </c>
      <c r="D19244" t="inlineStr">
        <is>
          <t>VÄSTERBOTTENS LÄN</t>
        </is>
      </c>
      <c r="E19244" t="inlineStr">
        <is>
          <t>UMEÅ</t>
        </is>
      </c>
      <c r="F19244" t="inlineStr">
        <is>
          <t>Kyrkan</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21992-2025</t>
        </is>
      </c>
      <c r="B19245" s="1" t="n">
        <v>45784</v>
      </c>
      <c r="C19245" s="1" t="n">
        <v>45788</v>
      </c>
      <c r="D19245" t="inlineStr">
        <is>
          <t>VÄSTERBOTTENS LÄN</t>
        </is>
      </c>
      <c r="E19245" t="inlineStr">
        <is>
          <t>SKELLEFTEÅ</t>
        </is>
      </c>
      <c r="G19245" t="n">
        <v>3.7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21999-2025</t>
        </is>
      </c>
      <c r="B19246" s="1" t="n">
        <v>45784</v>
      </c>
      <c r="C19246" s="1" t="n">
        <v>45788</v>
      </c>
      <c r="D19246" t="inlineStr">
        <is>
          <t>VÄSTERBOTTENS LÄN</t>
        </is>
      </c>
      <c r="E19246" t="inlineStr">
        <is>
          <t>VILHELMINA</t>
        </is>
      </c>
      <c r="F19246" t="inlineStr">
        <is>
          <t>SCA</t>
        </is>
      </c>
      <c r="G19246" t="n">
        <v>2.6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22032-2025</t>
        </is>
      </c>
      <c r="B19247" s="1" t="n">
        <v>45784</v>
      </c>
      <c r="C19247" s="1" t="n">
        <v>45788</v>
      </c>
      <c r="D19247" t="inlineStr">
        <is>
          <t>VÄSTERBOTTENS LÄN</t>
        </is>
      </c>
      <c r="E19247" t="inlineStr">
        <is>
          <t>ROBERTSFORS</t>
        </is>
      </c>
      <c r="G19247" t="n">
        <v>3.9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21950-2025</t>
        </is>
      </c>
      <c r="B19248" s="1" t="n">
        <v>45784</v>
      </c>
      <c r="C19248" s="1" t="n">
        <v>45788</v>
      </c>
      <c r="D19248" t="inlineStr">
        <is>
          <t>VÄSTERBOTTENS LÄN</t>
        </is>
      </c>
      <c r="E19248" t="inlineStr">
        <is>
          <t>VILHELMINA</t>
        </is>
      </c>
      <c r="F19248" t="inlineStr">
        <is>
          <t>SCA</t>
        </is>
      </c>
      <c r="G19248" t="n">
        <v>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21924-2025</t>
        </is>
      </c>
      <c r="B19249" s="1" t="n">
        <v>45784</v>
      </c>
      <c r="C19249" s="1" t="n">
        <v>45788</v>
      </c>
      <c r="D19249" t="inlineStr">
        <is>
          <t>VÄSTERBOTTENS LÄN</t>
        </is>
      </c>
      <c r="E19249" t="inlineStr">
        <is>
          <t>VILHELMINA</t>
        </is>
      </c>
      <c r="G19249" t="n">
        <v>10.2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21960-2025</t>
        </is>
      </c>
      <c r="B19250" s="1" t="n">
        <v>45784</v>
      </c>
      <c r="C19250" s="1" t="n">
        <v>45788</v>
      </c>
      <c r="D19250" t="inlineStr">
        <is>
          <t>VÄSTERBOTTENS LÄN</t>
        </is>
      </c>
      <c r="E19250" t="inlineStr">
        <is>
          <t>DOROTEA</t>
        </is>
      </c>
      <c r="F19250" t="inlineStr">
        <is>
          <t>SCA</t>
        </is>
      </c>
      <c r="G19250" t="n">
        <v>26.9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21910-2025</t>
        </is>
      </c>
      <c r="B19251" s="1" t="n">
        <v>45784</v>
      </c>
      <c r="C19251" s="1" t="n">
        <v>45788</v>
      </c>
      <c r="D19251" t="inlineStr">
        <is>
          <t>VÄSTERBOTTENS LÄN</t>
        </is>
      </c>
      <c r="E19251" t="inlineStr">
        <is>
          <t>SKELLEFTEÅ</t>
        </is>
      </c>
      <c r="F19251" t="inlineStr">
        <is>
          <t>Holmen skog AB</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21888-2025</t>
        </is>
      </c>
      <c r="B19252" s="1" t="n">
        <v>45784</v>
      </c>
      <c r="C19252" s="1" t="n">
        <v>45788</v>
      </c>
      <c r="D19252" t="inlineStr">
        <is>
          <t>VÄSTERBOTTENS LÄN</t>
        </is>
      </c>
      <c r="E19252" t="inlineStr">
        <is>
          <t>LYCKSELE</t>
        </is>
      </c>
      <c r="F19252" t="inlineStr">
        <is>
          <t>Holmen skog AB</t>
        </is>
      </c>
      <c r="G19252" t="n">
        <v>4.4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21906-2025</t>
        </is>
      </c>
      <c r="B19253" s="1" t="n">
        <v>45784</v>
      </c>
      <c r="C19253" s="1" t="n">
        <v>45788</v>
      </c>
      <c r="D19253" t="inlineStr">
        <is>
          <t>VÄSTERBOTTENS LÄN</t>
        </is>
      </c>
      <c r="E19253" t="inlineStr">
        <is>
          <t>NORSJÖ</t>
        </is>
      </c>
      <c r="G19253" t="n">
        <v>2.7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21965-2025</t>
        </is>
      </c>
      <c r="B19254" s="1" t="n">
        <v>45784</v>
      </c>
      <c r="C19254" s="1" t="n">
        <v>45788</v>
      </c>
      <c r="D19254" t="inlineStr">
        <is>
          <t>VÄSTERBOTTENS LÄN</t>
        </is>
      </c>
      <c r="E19254" t="inlineStr">
        <is>
          <t>VILHELMINA</t>
        </is>
      </c>
      <c r="G19254" t="n">
        <v>7.4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22004-2025</t>
        </is>
      </c>
      <c r="B19255" s="1" t="n">
        <v>45784</v>
      </c>
      <c r="C19255" s="1" t="n">
        <v>45788</v>
      </c>
      <c r="D19255" t="inlineStr">
        <is>
          <t>VÄSTERBOTTENS LÄN</t>
        </is>
      </c>
      <c r="E19255" t="inlineStr">
        <is>
          <t>UMEÅ</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22007-2025</t>
        </is>
      </c>
      <c r="B19256" s="1" t="n">
        <v>45784</v>
      </c>
      <c r="C19256" s="1" t="n">
        <v>45788</v>
      </c>
      <c r="D19256" t="inlineStr">
        <is>
          <t>VÄSTERBOTTENS LÄN</t>
        </is>
      </c>
      <c r="E19256" t="inlineStr">
        <is>
          <t>UMEÅ</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21887-2025</t>
        </is>
      </c>
      <c r="B19257" s="1" t="n">
        <v>45784</v>
      </c>
      <c r="C19257" s="1" t="n">
        <v>45788</v>
      </c>
      <c r="D19257" t="inlineStr">
        <is>
          <t>VÄSTERBOTTENS LÄN</t>
        </is>
      </c>
      <c r="E19257" t="inlineStr">
        <is>
          <t>BJURHOLM</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21861-2025</t>
        </is>
      </c>
      <c r="B19258" s="1" t="n">
        <v>45784</v>
      </c>
      <c r="C19258" s="1" t="n">
        <v>45788</v>
      </c>
      <c r="D19258" t="inlineStr">
        <is>
          <t>VÄSTERBOTTENS LÄN</t>
        </is>
      </c>
      <c r="E19258" t="inlineStr">
        <is>
          <t>LYCKSELE</t>
        </is>
      </c>
      <c r="F19258" t="inlineStr">
        <is>
          <t>SCA</t>
        </is>
      </c>
      <c r="G19258" t="n">
        <v>10.5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21855-2025</t>
        </is>
      </c>
      <c r="B19259" s="1" t="n">
        <v>45784</v>
      </c>
      <c r="C19259" s="1" t="n">
        <v>45788</v>
      </c>
      <c r="D19259" t="inlineStr">
        <is>
          <t>VÄSTERBOTTENS LÄN</t>
        </is>
      </c>
      <c r="E19259" t="inlineStr">
        <is>
          <t>ÅSELE</t>
        </is>
      </c>
      <c r="G19259" t="n">
        <v>4.4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21972-2025</t>
        </is>
      </c>
      <c r="B19260" s="1" t="n">
        <v>45784</v>
      </c>
      <c r="C19260" s="1" t="n">
        <v>45788</v>
      </c>
      <c r="D19260" t="inlineStr">
        <is>
          <t>VÄSTERBOTTENS LÄN</t>
        </is>
      </c>
      <c r="E19260" t="inlineStr">
        <is>
          <t>VILHELMINA</t>
        </is>
      </c>
      <c r="F19260" t="inlineStr">
        <is>
          <t>SCA</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22161-2025</t>
        </is>
      </c>
      <c r="B19261" s="1" t="n">
        <v>45785</v>
      </c>
      <c r="C19261" s="1" t="n">
        <v>45788</v>
      </c>
      <c r="D19261" t="inlineStr">
        <is>
          <t>VÄSTERBOTTENS LÄN</t>
        </is>
      </c>
      <c r="E19261" t="inlineStr">
        <is>
          <t>UMEÅ</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22031-2025</t>
        </is>
      </c>
      <c r="B19262" s="1" t="n">
        <v>45785</v>
      </c>
      <c r="C19262" s="1" t="n">
        <v>45788</v>
      </c>
      <c r="D19262" t="inlineStr">
        <is>
          <t>VÄSTERBOTTENS LÄN</t>
        </is>
      </c>
      <c r="E19262" t="inlineStr">
        <is>
          <t>SKELLEFTEÅ</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22145-2025</t>
        </is>
      </c>
      <c r="B19263" s="1" t="n">
        <v>45785</v>
      </c>
      <c r="C19263" s="1" t="n">
        <v>45788</v>
      </c>
      <c r="D19263" t="inlineStr">
        <is>
          <t>VÄSTERBOTTENS LÄN</t>
        </is>
      </c>
      <c r="E19263" t="inlineStr">
        <is>
          <t>UMEÅ</t>
        </is>
      </c>
      <c r="G19263" t="n">
        <v>0.3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22048-2025</t>
        </is>
      </c>
      <c r="B19264" s="1" t="n">
        <v>45785</v>
      </c>
      <c r="C19264" s="1" t="n">
        <v>45788</v>
      </c>
      <c r="D19264" t="inlineStr">
        <is>
          <t>VÄSTERBOTTENS LÄN</t>
        </is>
      </c>
      <c r="E19264" t="inlineStr">
        <is>
          <t>VILHELMINA</t>
        </is>
      </c>
      <c r="F19264" t="inlineStr">
        <is>
          <t>SCA</t>
        </is>
      </c>
      <c r="G19264" t="n">
        <v>3.2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22096-2025</t>
        </is>
      </c>
      <c r="B19265" s="1" t="n">
        <v>45785</v>
      </c>
      <c r="C19265" s="1" t="n">
        <v>45788</v>
      </c>
      <c r="D19265" t="inlineStr">
        <is>
          <t>VÄSTERBOTTENS LÄN</t>
        </is>
      </c>
      <c r="E19265" t="inlineStr">
        <is>
          <t>BJURHOLM</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22116-2025</t>
        </is>
      </c>
      <c r="B19266" s="1" t="n">
        <v>45785</v>
      </c>
      <c r="C19266" s="1" t="n">
        <v>45788</v>
      </c>
      <c r="D19266" t="inlineStr">
        <is>
          <t>VÄSTERBOTTENS LÄN</t>
        </is>
      </c>
      <c r="E19266" t="inlineStr">
        <is>
          <t>DOROTEA</t>
        </is>
      </c>
      <c r="F19266" t="inlineStr">
        <is>
          <t>SCA</t>
        </is>
      </c>
      <c r="G19266" t="n">
        <v>10.1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22123-2025</t>
        </is>
      </c>
      <c r="B19267" s="1" t="n">
        <v>45785</v>
      </c>
      <c r="C19267" s="1" t="n">
        <v>45788</v>
      </c>
      <c r="D19267" t="inlineStr">
        <is>
          <t>VÄSTERBOTTENS LÄN</t>
        </is>
      </c>
      <c r="E19267" t="inlineStr">
        <is>
          <t>LYCKSELE</t>
        </is>
      </c>
      <c r="F19267" t="inlineStr">
        <is>
          <t>Sveaskog</t>
        </is>
      </c>
      <c r="G19267" t="n">
        <v>11.2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22146-2025</t>
        </is>
      </c>
      <c r="B19268" s="1" t="n">
        <v>45785</v>
      </c>
      <c r="C19268" s="1" t="n">
        <v>45788</v>
      </c>
      <c r="D19268" t="inlineStr">
        <is>
          <t>VÄSTERBOTTENS LÄN</t>
        </is>
      </c>
      <c r="E19268" t="inlineStr">
        <is>
          <t>UMEÅ</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22154-2025</t>
        </is>
      </c>
      <c r="B19269" s="1" t="n">
        <v>45785</v>
      </c>
      <c r="C19269" s="1" t="n">
        <v>45788</v>
      </c>
      <c r="D19269" t="inlineStr">
        <is>
          <t>VÄSTERBOTTENS LÄN</t>
        </is>
      </c>
      <c r="E19269" t="inlineStr">
        <is>
          <t>ROBERTSFORS</t>
        </is>
      </c>
      <c r="G19269" t="n">
        <v>2.7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22213-2025</t>
        </is>
      </c>
      <c r="B19270" s="1" t="n">
        <v>45785</v>
      </c>
      <c r="C19270" s="1" t="n">
        <v>45788</v>
      </c>
      <c r="D19270" t="inlineStr">
        <is>
          <t>VÄSTERBOTTENS LÄN</t>
        </is>
      </c>
      <c r="E19270" t="inlineStr">
        <is>
          <t>DOROTEA</t>
        </is>
      </c>
      <c r="F19270" t="inlineStr">
        <is>
          <t>SCA</t>
        </is>
      </c>
      <c r="G19270" t="n">
        <v>1.8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22111-2025</t>
        </is>
      </c>
      <c r="B19271" s="1" t="n">
        <v>45785</v>
      </c>
      <c r="C19271" s="1" t="n">
        <v>45788</v>
      </c>
      <c r="D19271" t="inlineStr">
        <is>
          <t>VÄSTERBOTTENS LÄN</t>
        </is>
      </c>
      <c r="E19271" t="inlineStr">
        <is>
          <t>ROBERTSFORS</t>
        </is>
      </c>
      <c r="G19271" t="n">
        <v>1.4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22092-2025</t>
        </is>
      </c>
      <c r="B19272" s="1" t="n">
        <v>45785</v>
      </c>
      <c r="C19272" s="1" t="n">
        <v>45788</v>
      </c>
      <c r="D19272" t="inlineStr">
        <is>
          <t>VÄSTERBOTTENS LÄN</t>
        </is>
      </c>
      <c r="E19272" t="inlineStr">
        <is>
          <t>ROBERTSFORS</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22266-2025</t>
        </is>
      </c>
      <c r="B19273" s="1" t="n">
        <v>45785</v>
      </c>
      <c r="C19273" s="1" t="n">
        <v>45788</v>
      </c>
      <c r="D19273" t="inlineStr">
        <is>
          <t>VÄSTERBOTTENS LÄN</t>
        </is>
      </c>
      <c r="E19273" t="inlineStr">
        <is>
          <t>BJURHOLM</t>
        </is>
      </c>
      <c r="F19273" t="inlineStr">
        <is>
          <t>SCA</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22127-2025</t>
        </is>
      </c>
      <c r="B19274" s="1" t="n">
        <v>45785</v>
      </c>
      <c r="C19274" s="1" t="n">
        <v>45788</v>
      </c>
      <c r="D19274" t="inlineStr">
        <is>
          <t>VÄSTERBOTTENS LÄN</t>
        </is>
      </c>
      <c r="E19274" t="inlineStr">
        <is>
          <t>LYCKSELE</t>
        </is>
      </c>
      <c r="F19274" t="inlineStr">
        <is>
          <t>Sveaskog</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22144-2025</t>
        </is>
      </c>
      <c r="B19275" s="1" t="n">
        <v>45785</v>
      </c>
      <c r="C19275" s="1" t="n">
        <v>45788</v>
      </c>
      <c r="D19275" t="inlineStr">
        <is>
          <t>VÄSTERBOTTENS LÄN</t>
        </is>
      </c>
      <c r="E19275" t="inlineStr">
        <is>
          <t>ÅSELE</t>
        </is>
      </c>
      <c r="G19275" t="n">
        <v>8.4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22095-2025</t>
        </is>
      </c>
      <c r="B19276" s="1" t="n">
        <v>45785</v>
      </c>
      <c r="C19276" s="1" t="n">
        <v>45788</v>
      </c>
      <c r="D19276" t="inlineStr">
        <is>
          <t>VÄSTERBOTTENS LÄN</t>
        </is>
      </c>
      <c r="E19276" t="inlineStr">
        <is>
          <t>BJURHOLM</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22107-2025</t>
        </is>
      </c>
      <c r="B19277" s="1" t="n">
        <v>45785</v>
      </c>
      <c r="C19277" s="1" t="n">
        <v>45788</v>
      </c>
      <c r="D19277" t="inlineStr">
        <is>
          <t>VÄSTERBOTTENS LÄN</t>
        </is>
      </c>
      <c r="E19277" t="inlineStr">
        <is>
          <t>LYCKSELE</t>
        </is>
      </c>
      <c r="F19277" t="inlineStr">
        <is>
          <t>SCA</t>
        </is>
      </c>
      <c r="G19277" t="n">
        <v>8.4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22229-2025</t>
        </is>
      </c>
      <c r="B19278" s="1" t="n">
        <v>45785</v>
      </c>
      <c r="C19278" s="1" t="n">
        <v>45788</v>
      </c>
      <c r="D19278" t="inlineStr">
        <is>
          <t>VÄSTERBOTTENS LÄN</t>
        </is>
      </c>
      <c r="E19278" t="inlineStr">
        <is>
          <t>LYCKSELE</t>
        </is>
      </c>
      <c r="F19278" t="inlineStr">
        <is>
          <t>Holmen skog AB</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22065-2025</t>
        </is>
      </c>
      <c r="B19279" s="1" t="n">
        <v>45785</v>
      </c>
      <c r="C19279" s="1" t="n">
        <v>45788</v>
      </c>
      <c r="D19279" t="inlineStr">
        <is>
          <t>VÄSTERBOTTENS LÄN</t>
        </is>
      </c>
      <c r="E19279" t="inlineStr">
        <is>
          <t>SKELLEFTEÅ</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22272-2025</t>
        </is>
      </c>
      <c r="B19280" s="1" t="n">
        <v>45786</v>
      </c>
      <c r="C19280" s="1" t="n">
        <v>45788</v>
      </c>
      <c r="D19280" t="inlineStr">
        <is>
          <t>VÄSTERBOTTENS LÄN</t>
        </is>
      </c>
      <c r="E19280" t="inlineStr">
        <is>
          <t>VINDELN</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22067-2025</t>
        </is>
      </c>
      <c r="B19281" s="1" t="n">
        <v>45785</v>
      </c>
      <c r="C19281" s="1" t="n">
        <v>45788</v>
      </c>
      <c r="D19281" t="inlineStr">
        <is>
          <t>VÄSTERBOTTENS LÄN</t>
        </is>
      </c>
      <c r="E19281" t="inlineStr">
        <is>
          <t>SKELLEFTEÅ</t>
        </is>
      </c>
      <c r="G19281" t="n">
        <v>9.199999999999999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22265-2025</t>
        </is>
      </c>
      <c r="B19282" s="1" t="n">
        <v>45785</v>
      </c>
      <c r="C19282" s="1" t="n">
        <v>45788</v>
      </c>
      <c r="D19282" t="inlineStr">
        <is>
          <t>VÄSTERBOTTENS LÄN</t>
        </is>
      </c>
      <c r="E19282" t="inlineStr">
        <is>
          <t>BJURHOLM</t>
        </is>
      </c>
      <c r="F19282" t="inlineStr">
        <is>
          <t>SCA</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22159-2025</t>
        </is>
      </c>
      <c r="B19283" s="1" t="n">
        <v>45785</v>
      </c>
      <c r="C19283" s="1" t="n">
        <v>45788</v>
      </c>
      <c r="D19283" t="inlineStr">
        <is>
          <t>VÄSTERBOTTENS LÄN</t>
        </is>
      </c>
      <c r="E19283" t="inlineStr">
        <is>
          <t>UMEÅ</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22371-2025</t>
        </is>
      </c>
      <c r="B19284" s="1" t="n">
        <v>45786</v>
      </c>
      <c r="C19284" s="1" t="n">
        <v>45788</v>
      </c>
      <c r="D19284" t="inlineStr">
        <is>
          <t>VÄSTERBOTTENS LÄN</t>
        </is>
      </c>
      <c r="E19284" t="inlineStr">
        <is>
          <t>VINDELN</t>
        </is>
      </c>
      <c r="F19284" t="inlineStr">
        <is>
          <t>Holmen skog AB</t>
        </is>
      </c>
      <c r="G19284" t="n">
        <v>8.300000000000001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22486-2025</t>
        </is>
      </c>
      <c r="B19285" s="1" t="n">
        <v>45786</v>
      </c>
      <c r="C19285" s="1" t="n">
        <v>45788</v>
      </c>
      <c r="D19285" t="inlineStr">
        <is>
          <t>VÄSTERBOTTENS LÄN</t>
        </is>
      </c>
      <c r="E19285" t="inlineStr">
        <is>
          <t>ÅSELE</t>
        </is>
      </c>
      <c r="F19285" t="inlineStr">
        <is>
          <t>Holmen skog AB</t>
        </is>
      </c>
      <c r="G19285" t="n">
        <v>8.199999999999999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22496-2025</t>
        </is>
      </c>
      <c r="B19286" s="1" t="n">
        <v>45786</v>
      </c>
      <c r="C19286" s="1" t="n">
        <v>45788</v>
      </c>
      <c r="D19286" t="inlineStr">
        <is>
          <t>VÄSTERBOTTENS LÄN</t>
        </is>
      </c>
      <c r="E19286" t="inlineStr">
        <is>
          <t>VILHELMINA</t>
        </is>
      </c>
      <c r="F19286" t="inlineStr">
        <is>
          <t>SCA</t>
        </is>
      </c>
      <c r="G19286" t="n">
        <v>16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22423-2025</t>
        </is>
      </c>
      <c r="B19287" s="1" t="n">
        <v>45786</v>
      </c>
      <c r="C19287" s="1" t="n">
        <v>45788</v>
      </c>
      <c r="D19287" t="inlineStr">
        <is>
          <t>VÄSTERBOTTENS LÄN</t>
        </is>
      </c>
      <c r="E19287" t="inlineStr">
        <is>
          <t>LYCKSELE</t>
        </is>
      </c>
      <c r="G19287" t="n">
        <v>3.2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22451-2025</t>
        </is>
      </c>
      <c r="B19288" s="1" t="n">
        <v>45786</v>
      </c>
      <c r="C19288" s="1" t="n">
        <v>45788</v>
      </c>
      <c r="D19288" t="inlineStr">
        <is>
          <t>VÄSTERBOTTENS LÄN</t>
        </is>
      </c>
      <c r="E19288" t="inlineStr">
        <is>
          <t>VINDELN</t>
        </is>
      </c>
      <c r="F19288" t="inlineStr">
        <is>
          <t>Holmen skog AB</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22452-2025</t>
        </is>
      </c>
      <c r="B19289" s="1" t="n">
        <v>45786</v>
      </c>
      <c r="C19289" s="1" t="n">
        <v>45788</v>
      </c>
      <c r="D19289" t="inlineStr">
        <is>
          <t>VÄSTERBOTTENS LÄN</t>
        </is>
      </c>
      <c r="E19289" t="inlineStr">
        <is>
          <t>LYCKSELE</t>
        </is>
      </c>
      <c r="F19289" t="inlineStr">
        <is>
          <t>Sveaskog</t>
        </is>
      </c>
      <c r="G19289" t="n">
        <v>11.4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22309-2025</t>
        </is>
      </c>
      <c r="B19290" s="1" t="n">
        <v>45786</v>
      </c>
      <c r="C19290" s="1" t="n">
        <v>45788</v>
      </c>
      <c r="D19290" t="inlineStr">
        <is>
          <t>VÄSTERBOTTENS LÄN</t>
        </is>
      </c>
      <c r="E19290" t="inlineStr">
        <is>
          <t>LYCKSELE</t>
        </is>
      </c>
      <c r="F19290" t="inlineStr">
        <is>
          <t>Holmen skog AB</t>
        </is>
      </c>
      <c r="G19290" t="n">
        <v>3.1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22343-2025</t>
        </is>
      </c>
      <c r="B19291" s="1" t="n">
        <v>45786</v>
      </c>
      <c r="C19291" s="1" t="n">
        <v>45788</v>
      </c>
      <c r="D19291" t="inlineStr">
        <is>
          <t>VÄSTERBOTTENS LÄN</t>
        </is>
      </c>
      <c r="E19291" t="inlineStr">
        <is>
          <t>LYCKSELE</t>
        </is>
      </c>
      <c r="F19291" t="inlineStr">
        <is>
          <t>SCA</t>
        </is>
      </c>
      <c r="G19291" t="n">
        <v>4.7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22344-2025</t>
        </is>
      </c>
      <c r="B19292" s="1" t="n">
        <v>45786</v>
      </c>
      <c r="C19292" s="1" t="n">
        <v>45788</v>
      </c>
      <c r="D19292" t="inlineStr">
        <is>
          <t>VÄSTERBOTTENS LÄN</t>
        </is>
      </c>
      <c r="E19292" t="inlineStr">
        <is>
          <t>LYCKSELE</t>
        </is>
      </c>
      <c r="F19292" t="inlineStr">
        <is>
          <t>SCA</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22360-2025</t>
        </is>
      </c>
      <c r="B19293" s="1" t="n">
        <v>45786</v>
      </c>
      <c r="C19293" s="1" t="n">
        <v>45788</v>
      </c>
      <c r="D19293" t="inlineStr">
        <is>
          <t>VÄSTERBOTTENS LÄN</t>
        </is>
      </c>
      <c r="E19293" t="inlineStr">
        <is>
          <t>LYCKSELE</t>
        </is>
      </c>
      <c r="F19293" t="inlineStr">
        <is>
          <t>Sveaskog</t>
        </is>
      </c>
      <c r="G19293" t="n">
        <v>2.2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22378-2025</t>
        </is>
      </c>
      <c r="B19294" s="1" t="n">
        <v>45786</v>
      </c>
      <c r="C19294" s="1" t="n">
        <v>45788</v>
      </c>
      <c r="D19294" t="inlineStr">
        <is>
          <t>VÄSTERBOTTENS LÄN</t>
        </is>
      </c>
      <c r="E19294" t="inlineStr">
        <is>
          <t>LYCKSELE</t>
        </is>
      </c>
      <c r="F19294" t="inlineStr">
        <is>
          <t>SCA</t>
        </is>
      </c>
      <c r="G19294" t="n">
        <v>11.9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22403-2025</t>
        </is>
      </c>
      <c r="B19295" s="1" t="n">
        <v>45786</v>
      </c>
      <c r="C19295" s="1" t="n">
        <v>45788</v>
      </c>
      <c r="D19295" t="inlineStr">
        <is>
          <t>VÄSTERBOTTENS LÄN</t>
        </is>
      </c>
      <c r="E19295" t="inlineStr">
        <is>
          <t>LYCKSELE</t>
        </is>
      </c>
      <c r="F19295" t="inlineStr">
        <is>
          <t>Sveaskog</t>
        </is>
      </c>
      <c r="G19295" t="n">
        <v>20.7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22290-2025</t>
        </is>
      </c>
      <c r="B19296" s="1" t="n">
        <v>45786</v>
      </c>
      <c r="C19296" s="1" t="n">
        <v>45788</v>
      </c>
      <c r="D19296" t="inlineStr">
        <is>
          <t>VÄSTERBOTTENS LÄN</t>
        </is>
      </c>
      <c r="E19296" t="inlineStr">
        <is>
          <t>BJURHOLM</t>
        </is>
      </c>
      <c r="F19296" t="inlineStr">
        <is>
          <t>SCA</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22408-2025</t>
        </is>
      </c>
      <c r="B19297" s="1" t="n">
        <v>45786</v>
      </c>
      <c r="C19297" s="1" t="n">
        <v>45788</v>
      </c>
      <c r="D19297" t="inlineStr">
        <is>
          <t>VÄSTERBOTTENS LÄN</t>
        </is>
      </c>
      <c r="E19297" t="inlineStr">
        <is>
          <t>LYCKSELE</t>
        </is>
      </c>
      <c r="G19297" t="n">
        <v>1.1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22453-2025</t>
        </is>
      </c>
      <c r="B19298" s="1" t="n">
        <v>45786</v>
      </c>
      <c r="C19298" s="1" t="n">
        <v>45788</v>
      </c>
      <c r="D19298" t="inlineStr">
        <is>
          <t>VÄSTERBOTTENS LÄN</t>
        </is>
      </c>
      <c r="E19298" t="inlineStr">
        <is>
          <t>LYCKSELE</t>
        </is>
      </c>
      <c r="F19298" t="inlineStr">
        <is>
          <t>Sveaskog</t>
        </is>
      </c>
      <c r="G19298" t="n">
        <v>5.9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22457-2025</t>
        </is>
      </c>
      <c r="B19299" s="1" t="n">
        <v>45786</v>
      </c>
      <c r="C19299" s="1" t="n">
        <v>45788</v>
      </c>
      <c r="D19299" t="inlineStr">
        <is>
          <t>VÄSTERBOTTENS LÄN</t>
        </is>
      </c>
      <c r="E19299" t="inlineStr">
        <is>
          <t>VILHELMINA</t>
        </is>
      </c>
      <c r="G19299" t="n">
        <v>10.8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22477-2025</t>
        </is>
      </c>
      <c r="B19300" s="1" t="n">
        <v>45786</v>
      </c>
      <c r="C19300" s="1" t="n">
        <v>45788</v>
      </c>
      <c r="D19300" t="inlineStr">
        <is>
          <t>VÄSTERBOTTENS LÄN</t>
        </is>
      </c>
      <c r="E19300" t="inlineStr">
        <is>
          <t>UMEÅ</t>
        </is>
      </c>
      <c r="G19300" t="n">
        <v>1.2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22440-2025</t>
        </is>
      </c>
      <c r="B19301" s="1" t="n">
        <v>45786</v>
      </c>
      <c r="C19301" s="1" t="n">
        <v>45788</v>
      </c>
      <c r="D19301" t="inlineStr">
        <is>
          <t>VÄSTERBOTTENS LÄN</t>
        </is>
      </c>
      <c r="E19301" t="inlineStr">
        <is>
          <t>VILHELMINA</t>
        </is>
      </c>
      <c r="G19301" t="n">
        <v>9.199999999999999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22410-2025</t>
        </is>
      </c>
      <c r="B19302" s="1" t="n">
        <v>45786</v>
      </c>
      <c r="C19302" s="1" t="n">
        <v>45788</v>
      </c>
      <c r="D19302" t="inlineStr">
        <is>
          <t>VÄSTERBOTTENS LÄN</t>
        </is>
      </c>
      <c r="E19302" t="inlineStr">
        <is>
          <t>VINDELN</t>
        </is>
      </c>
      <c r="F19302" t="inlineStr">
        <is>
          <t>Holmen skog AB</t>
        </is>
      </c>
      <c r="G19302" t="n">
        <v>16.3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22284-2025</t>
        </is>
      </c>
      <c r="B19303" s="1" t="n">
        <v>45786</v>
      </c>
      <c r="C19303" s="1" t="n">
        <v>45788</v>
      </c>
      <c r="D19303" t="inlineStr">
        <is>
          <t>VÄSTERBOTTENS LÄN</t>
        </is>
      </c>
      <c r="E19303" t="inlineStr">
        <is>
          <t>SKELLEFTEÅ</t>
        </is>
      </c>
      <c r="G19303" t="n">
        <v>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22456-2025</t>
        </is>
      </c>
      <c r="B19304" s="1" t="n">
        <v>45786</v>
      </c>
      <c r="C19304" s="1" t="n">
        <v>45788</v>
      </c>
      <c r="D19304" t="inlineStr">
        <is>
          <t>VÄSTERBOTTENS LÄN</t>
        </is>
      </c>
      <c r="E19304" t="inlineStr">
        <is>
          <t>LYCKSELE</t>
        </is>
      </c>
      <c r="F19304" t="inlineStr">
        <is>
          <t>Sveaskog</t>
        </is>
      </c>
      <c r="G19304" t="n">
        <v>4.2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22436-2025</t>
        </is>
      </c>
      <c r="B19305" s="1" t="n">
        <v>45786</v>
      </c>
      <c r="C19305" s="1" t="n">
        <v>45788</v>
      </c>
      <c r="D19305" t="inlineStr">
        <is>
          <t>VÄSTERBOTTENS LÄN</t>
        </is>
      </c>
      <c r="E19305" t="inlineStr">
        <is>
          <t>VINDELN</t>
        </is>
      </c>
      <c r="F19305" t="inlineStr">
        <is>
          <t>Holmen skog AB</t>
        </is>
      </c>
      <c r="G19305" t="n">
        <v>3.4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22363-2025</t>
        </is>
      </c>
      <c r="B19306" s="1" t="n">
        <v>45786</v>
      </c>
      <c r="C19306" s="1" t="n">
        <v>45788</v>
      </c>
      <c r="D19306" t="inlineStr">
        <is>
          <t>VÄSTERBOTTENS LÄN</t>
        </is>
      </c>
      <c r="E19306" t="inlineStr">
        <is>
          <t>LYCKSELE</t>
        </is>
      </c>
      <c r="F19306" t="inlineStr">
        <is>
          <t>Sveaskog</t>
        </is>
      </c>
      <c r="G19306" t="n">
        <v>2.2</v>
      </c>
      <c r="H19306" t="n">
        <v>0</v>
      </c>
      <c r="I19306" t="n">
        <v>0</v>
      </c>
      <c r="J19306" t="n">
        <v>0</v>
      </c>
      <c r="K19306" t="n">
        <v>0</v>
      </c>
      <c r="L19306" t="n">
        <v>0</v>
      </c>
      <c r="M19306" t="n">
        <v>0</v>
      </c>
      <c r="N19306" t="n">
        <v>0</v>
      </c>
      <c r="O19306" t="n">
        <v>0</v>
      </c>
      <c r="P19306" t="n">
        <v>0</v>
      </c>
      <c r="Q19306" t="n">
        <v>0</v>
      </c>
      <c r="R19306" s="2" t="inlineStr"/>
    </row>
    <row r="19307">
      <c r="A19307" t="inlineStr">
        <is>
          <t>A 22311-2025</t>
        </is>
      </c>
      <c r="B19307" s="1" t="n">
        <v>45786</v>
      </c>
      <c r="C19307" s="1" t="n">
        <v>45788</v>
      </c>
      <c r="D19307" t="inlineStr">
        <is>
          <t>VÄSTERBOTTENS LÄN</t>
        </is>
      </c>
      <c r="E19307" t="inlineStr">
        <is>
          <t>SKELLEFTEÅ</t>
        </is>
      </c>
      <c r="G19307" t="n">
        <v>2.5</v>
      </c>
      <c r="H19307" t="n">
        <v>0</v>
      </c>
      <c r="I19307" t="n">
        <v>0</v>
      </c>
      <c r="J19307" t="n">
        <v>0</v>
      </c>
      <c r="K19307" t="n">
        <v>0</v>
      </c>
      <c r="L19307" t="n">
        <v>0</v>
      </c>
      <c r="M19307" t="n">
        <v>0</v>
      </c>
      <c r="N19307" t="n">
        <v>0</v>
      </c>
      <c r="O19307" t="n">
        <v>0</v>
      </c>
      <c r="P19307" t="n">
        <v>0</v>
      </c>
      <c r="Q19307" t="n">
        <v>0</v>
      </c>
      <c r="R19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2025-05-11T17:22:04Z</dcterms:created>
  <dcterms:modified xmlns:dcterms="http://purl.org/dc/terms/" xmlns:xsi="http://www.w3.org/2001/XMLSchema-instance" xsi:type="dcterms:W3CDTF">2025-05-11T17:22:21Z</dcterms:modified>
</cp:coreProperties>
</file>