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45718</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45718</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45718</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45718</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45718</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45718</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45718</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45718</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45718</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45718</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45718</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45718</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45718</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45718</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45718</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45718</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45718</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45718</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45718</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45718</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45718</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45718</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45718</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45718</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45718</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45718</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45718</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45718</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45718</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45718</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45718</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45718</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45718</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45718</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45718</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45718</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45718</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45718</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45718</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45718</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45718</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45718</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45718</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45718</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45718</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45718</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45718</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45718</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45718</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45718</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45718</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45718</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45718</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45718</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45718</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45718</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45718</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45718</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45718</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45718</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45718</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45718</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45718</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45718</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45718</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45718</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45718</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45718</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45718</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45718</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45718</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45718</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45718</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45718</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45718</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45718</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45718</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45718</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45718</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45718</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45718</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45718</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45718</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45718</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45718</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45718</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45718</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45718</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45718</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45718</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45718</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45718</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45718</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45718</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45718</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45718</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45718</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45718</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45718</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45718</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45718</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45718</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45718</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45718</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45718</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45718</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45718</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45718</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45718</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45718</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45718</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45718</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45718</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45718</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45718</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45718</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45718</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45718</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45718</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45718</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45718</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45718</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45718</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45718</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45718</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45718</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45718</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45718</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45718</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45718</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45718</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45718</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45718</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45718</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45718</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45718</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45718</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45718</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45718</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45718</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45718</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45718</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45718</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45718</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45718</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45718</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45718</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45718</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45718</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45718</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45718</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45718</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45718</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45718</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45718</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45718</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45718</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45718</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45718</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45718</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45718</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45718</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45718</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45718</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45718</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45718</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45718</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45718</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45718</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45718</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45718</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45718</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45718</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45718</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45718</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45718</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45718</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45718</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45718</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45718</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45718</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45718</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45718</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45718</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45718</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45718</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45718</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45718</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45718</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45718</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45718</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45718</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45718</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45718</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45718</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45718</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45718</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45718</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45718</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45718</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45718</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45718</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45718</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45718</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45718</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45718</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45718</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45718</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45718</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45718</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45718</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45718</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45718</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45718</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45718</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45718</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45718</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45718</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45718</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45718</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45718</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45718</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45718</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45718</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45718</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45718</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45718</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45718</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45718</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45718</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45718</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45718</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45718</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45718</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45718</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45718</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45718</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45718</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45718</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45718</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45718</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45718</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45718</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45718</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45718</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45718</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45718</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45718</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45718</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45718</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45718</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45718</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45718</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45718</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45718</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45718</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45718</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45718</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45718</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45718</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45718</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45718</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45718</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45718</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45718</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45718</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45718</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45718</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45718</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45718</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45718</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45718</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45718</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45718</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45718</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45718</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45718</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45718</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45718</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45718</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45718</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45718</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45718</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45718</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45718</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45718</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45718</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45718</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45718</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45718</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45718</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45718</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45718</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45718</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45718</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45718</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45718</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45718</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45718</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45718</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45718</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45718</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45718</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45718</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45718</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45718</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45718</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45718</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45718</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45718</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45718</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45718</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45718</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45718</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45718</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45718</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45718</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45718</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45718</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45718</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45718</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45718</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45718</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45718</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45718</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45718</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45718</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45718</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45718</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45718</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45718</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45718</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45718</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45718</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45718</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45718</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45718</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45718</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45718</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45718</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45718</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45718</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45718</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45718</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45718</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45718</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45718</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45718</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45718</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45718</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45718</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45718</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45718</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45718</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45718</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45718</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45718</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45718</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45718</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45718</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45718</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45718</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45718</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45718</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45718</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45718</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45718</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45718</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45718</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45718</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45718</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45718</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45718</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45718</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45718</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45718</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45718</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45718</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45718</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45718</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45718</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45718</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45718</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45718</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45718</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45718</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45718</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45718</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45718</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45718</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45718</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45718</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45718</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45718</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45718</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45718</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45718</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45718</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45718</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45718</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45718</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45718</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45718</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45718</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45718</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45718</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45718</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45718</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45718</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45718</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45718</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45718</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45718</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45718</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45718</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45718</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45718</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45718</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45718</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45718</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45718</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45718</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45718</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45718</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45718</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45718</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45718</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45718</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45718</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45718</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45718</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45718</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45718</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45718</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45718</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45718</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45718</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45718</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45718</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45718</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45718</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45718</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45718</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45718</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45718</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45718</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45718</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45718</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45718</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45718</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45718</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45718</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45718</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45718</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45718</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45718</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45718</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45718</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45718</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45718</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45718</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45718</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45718</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45718</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45718</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45718</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45718</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45718</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45718</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45718</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45718</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45718</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45718</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45718</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45718</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45718</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45718</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45718</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45718</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45718</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45718</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45718</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45718</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45718</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45718</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45718</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45718</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45718</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45718</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45718</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45718</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45718</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45718</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45718</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45718</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45718</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45718</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45718</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45718</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45718</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45718</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45718</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45718</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45718</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45718</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45718</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45718</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45718</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45718</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45718</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45718</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45718</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45718</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45718</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45718</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45718</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45718</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45718</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45718</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45718</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45718</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45718</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45718</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45718</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4828-2023</t>
        </is>
      </c>
      <c r="B592" s="1" t="n">
        <v>44957</v>
      </c>
      <c r="C592" s="1" t="n">
        <v>45718</v>
      </c>
      <c r="D592" t="inlineStr">
        <is>
          <t>VÄSTERBOTTENS LÄN</t>
        </is>
      </c>
      <c r="E592" t="inlineStr">
        <is>
          <t>DOROTEA</t>
        </is>
      </c>
      <c r="G592" t="n">
        <v>8</v>
      </c>
      <c r="H592" t="n">
        <v>1</v>
      </c>
      <c r="I592" t="n">
        <v>1</v>
      </c>
      <c r="J592" t="n">
        <v>3</v>
      </c>
      <c r="K592" t="n">
        <v>0</v>
      </c>
      <c r="L592" t="n">
        <v>0</v>
      </c>
      <c r="M592" t="n">
        <v>0</v>
      </c>
      <c r="N592" t="n">
        <v>0</v>
      </c>
      <c r="O592" t="n">
        <v>3</v>
      </c>
      <c r="P592" t="n">
        <v>0</v>
      </c>
      <c r="Q592" t="n">
        <v>4</v>
      </c>
      <c r="R592" s="2" t="inlineStr">
        <is>
          <t>Garnlav
Granticka
Vitgrynig nållav
Spindelblomster</t>
        </is>
      </c>
      <c r="S592">
        <f>HYPERLINK("https://klasma.github.io/Logging_2425/artfynd/A 4828-2023 artfynd.xlsx", "A 4828-2023")</f>
        <v/>
      </c>
      <c r="T592">
        <f>HYPERLINK("https://klasma.github.io/Logging_2425/kartor/A 4828-2023 karta.png", "A 4828-2023")</f>
        <v/>
      </c>
      <c r="V592">
        <f>HYPERLINK("https://klasma.github.io/Logging_2425/klagomål/A 4828-2023 FSC-klagomål.docx", "A 4828-2023")</f>
        <v/>
      </c>
      <c r="W592">
        <f>HYPERLINK("https://klasma.github.io/Logging_2425/klagomålsmail/A 4828-2023 FSC-klagomål mail.docx", "A 4828-2023")</f>
        <v/>
      </c>
      <c r="X592">
        <f>HYPERLINK("https://klasma.github.io/Logging_2425/tillsyn/A 4828-2023 tillsynsbegäran.docx", "A 4828-2023")</f>
        <v/>
      </c>
      <c r="Y592">
        <f>HYPERLINK("https://klasma.github.io/Logging_2425/tillsynsmail/A 4828-2023 tillsynsbegäran mail.docx", "A 4828-2023")</f>
        <v/>
      </c>
    </row>
    <row r="593" ht="15" customHeight="1">
      <c r="A593" t="inlineStr">
        <is>
          <t>A 5700-2023</t>
        </is>
      </c>
      <c r="B593" s="1" t="n">
        <v>44960</v>
      </c>
      <c r="C593" s="1" t="n">
        <v>45718</v>
      </c>
      <c r="D593" t="inlineStr">
        <is>
          <t>VÄSTERBOTTENS LÄN</t>
        </is>
      </c>
      <c r="E593" t="inlineStr">
        <is>
          <t>ÅSELE</t>
        </is>
      </c>
      <c r="F593" t="inlineStr">
        <is>
          <t>SCA</t>
        </is>
      </c>
      <c r="G593" t="n">
        <v>5.1</v>
      </c>
      <c r="H593" t="n">
        <v>0</v>
      </c>
      <c r="I593" t="n">
        <v>0</v>
      </c>
      <c r="J593" t="n">
        <v>4</v>
      </c>
      <c r="K593" t="n">
        <v>0</v>
      </c>
      <c r="L593" t="n">
        <v>0</v>
      </c>
      <c r="M593" t="n">
        <v>0</v>
      </c>
      <c r="N593" t="n">
        <v>0</v>
      </c>
      <c r="O593" t="n">
        <v>4</v>
      </c>
      <c r="P593" t="n">
        <v>0</v>
      </c>
      <c r="Q593" t="n">
        <v>4</v>
      </c>
      <c r="R593" s="2" t="inlineStr">
        <is>
          <t>Gammelgransskål
Garnlav
Granticka
Lunglav</t>
        </is>
      </c>
      <c r="S593">
        <f>HYPERLINK("https://klasma.github.io/Logging_2463/artfynd/A 5700-2023 artfynd.xlsx", "A 5700-2023")</f>
        <v/>
      </c>
      <c r="T593">
        <f>HYPERLINK("https://klasma.github.io/Logging_2463/kartor/A 5700-2023 karta.png", "A 5700-2023")</f>
        <v/>
      </c>
      <c r="V593">
        <f>HYPERLINK("https://klasma.github.io/Logging_2463/klagomål/A 5700-2023 FSC-klagomål.docx", "A 5700-2023")</f>
        <v/>
      </c>
      <c r="W593">
        <f>HYPERLINK("https://klasma.github.io/Logging_2463/klagomålsmail/A 5700-2023 FSC-klagomål mail.docx", "A 5700-2023")</f>
        <v/>
      </c>
      <c r="X593">
        <f>HYPERLINK("https://klasma.github.io/Logging_2463/tillsyn/A 5700-2023 tillsynsbegäran.docx", "A 5700-2023")</f>
        <v/>
      </c>
      <c r="Y593">
        <f>HYPERLINK("https://klasma.github.io/Logging_2463/tillsynsmail/A 5700-2023 tillsynsbegäran mail.docx", "A 5700-2023")</f>
        <v/>
      </c>
    </row>
    <row r="594" ht="15" customHeight="1">
      <c r="A594" t="inlineStr">
        <is>
          <t>A 10764-2023</t>
        </is>
      </c>
      <c r="B594" s="1" t="n">
        <v>44988</v>
      </c>
      <c r="C594" s="1" t="n">
        <v>45718</v>
      </c>
      <c r="D594" t="inlineStr">
        <is>
          <t>VÄSTERBOTTENS LÄN</t>
        </is>
      </c>
      <c r="E594" t="inlineStr">
        <is>
          <t>NORDMALING</t>
        </is>
      </c>
      <c r="G594" t="n">
        <v>13.3</v>
      </c>
      <c r="H594" t="n">
        <v>0</v>
      </c>
      <c r="I594" t="n">
        <v>0</v>
      </c>
      <c r="J594" t="n">
        <v>4</v>
      </c>
      <c r="K594" t="n">
        <v>0</v>
      </c>
      <c r="L594" t="n">
        <v>0</v>
      </c>
      <c r="M594" t="n">
        <v>0</v>
      </c>
      <c r="N594" t="n">
        <v>0</v>
      </c>
      <c r="O594" t="n">
        <v>4</v>
      </c>
      <c r="P594" t="n">
        <v>0</v>
      </c>
      <c r="Q594" t="n">
        <v>4</v>
      </c>
      <c r="R594" s="2" t="inlineStr">
        <is>
          <t>Kolflarnlav
Mörk kolflarnlav
Reliktbock
Violettgrå tagellav</t>
        </is>
      </c>
      <c r="S594">
        <f>HYPERLINK("https://klasma.github.io/Logging_2401/artfynd/A 10764-2023 artfynd.xlsx", "A 10764-2023")</f>
        <v/>
      </c>
      <c r="T594">
        <f>HYPERLINK("https://klasma.github.io/Logging_2401/kartor/A 10764-2023 karta.png", "A 10764-2023")</f>
        <v/>
      </c>
      <c r="V594">
        <f>HYPERLINK("https://klasma.github.io/Logging_2401/klagomål/A 10764-2023 FSC-klagomål.docx", "A 10764-2023")</f>
        <v/>
      </c>
      <c r="W594">
        <f>HYPERLINK("https://klasma.github.io/Logging_2401/klagomålsmail/A 10764-2023 FSC-klagomål mail.docx", "A 10764-2023")</f>
        <v/>
      </c>
      <c r="X594">
        <f>HYPERLINK("https://klasma.github.io/Logging_2401/tillsyn/A 10764-2023 tillsynsbegäran.docx", "A 10764-2023")</f>
        <v/>
      </c>
      <c r="Y594">
        <f>HYPERLINK("https://klasma.github.io/Logging_2401/tillsynsmail/A 10764-2023 tillsynsbegäran mail.docx", "A 10764-2023")</f>
        <v/>
      </c>
    </row>
    <row r="595" ht="15" customHeight="1">
      <c r="A595" t="inlineStr">
        <is>
          <t>A 18950-2023</t>
        </is>
      </c>
      <c r="B595" s="1" t="n">
        <v>45043</v>
      </c>
      <c r="C595" s="1" t="n">
        <v>45718</v>
      </c>
      <c r="D595" t="inlineStr">
        <is>
          <t>VÄSTERBOTTENS LÄN</t>
        </is>
      </c>
      <c r="E595" t="inlineStr">
        <is>
          <t>BJURHOLM</t>
        </is>
      </c>
      <c r="G595" t="n">
        <v>5.6</v>
      </c>
      <c r="H595" t="n">
        <v>0</v>
      </c>
      <c r="I595" t="n">
        <v>1</v>
      </c>
      <c r="J595" t="n">
        <v>3</v>
      </c>
      <c r="K595" t="n">
        <v>0</v>
      </c>
      <c r="L595" t="n">
        <v>0</v>
      </c>
      <c r="M595" t="n">
        <v>0</v>
      </c>
      <c r="N595" t="n">
        <v>0</v>
      </c>
      <c r="O595" t="n">
        <v>3</v>
      </c>
      <c r="P595" t="n">
        <v>0</v>
      </c>
      <c r="Q595" t="n">
        <v>4</v>
      </c>
      <c r="R595" s="2" t="inlineStr">
        <is>
          <t>Ullticka
Vedskivlav
Violettgrå tagellav
Skuggblåslav</t>
        </is>
      </c>
      <c r="S595">
        <f>HYPERLINK("https://klasma.github.io/Logging_2403/artfynd/A 18950-2023 artfynd.xlsx", "A 18950-2023")</f>
        <v/>
      </c>
      <c r="T595">
        <f>HYPERLINK("https://klasma.github.io/Logging_2403/kartor/A 18950-2023 karta.png", "A 18950-2023")</f>
        <v/>
      </c>
      <c r="V595">
        <f>HYPERLINK("https://klasma.github.io/Logging_2403/klagomål/A 18950-2023 FSC-klagomål.docx", "A 18950-2023")</f>
        <v/>
      </c>
      <c r="W595">
        <f>HYPERLINK("https://klasma.github.io/Logging_2403/klagomålsmail/A 18950-2023 FSC-klagomål mail.docx", "A 18950-2023")</f>
        <v/>
      </c>
      <c r="X595">
        <f>HYPERLINK("https://klasma.github.io/Logging_2403/tillsyn/A 18950-2023 tillsynsbegäran.docx", "A 18950-2023")</f>
        <v/>
      </c>
      <c r="Y595">
        <f>HYPERLINK("https://klasma.github.io/Logging_2403/tillsynsmail/A 18950-2023 tillsynsbegäran mail.docx", "A 18950-2023")</f>
        <v/>
      </c>
    </row>
    <row r="596" ht="15" customHeight="1">
      <c r="A596" t="inlineStr">
        <is>
          <t>A 21068-2023</t>
        </is>
      </c>
      <c r="B596" s="1" t="n">
        <v>45057</v>
      </c>
      <c r="C596" s="1" t="n">
        <v>45718</v>
      </c>
      <c r="D596" t="inlineStr">
        <is>
          <t>VÄSTERBOTTENS LÄN</t>
        </is>
      </c>
      <c r="E596" t="inlineStr">
        <is>
          <t>LYCKSELE</t>
        </is>
      </c>
      <c r="G596" t="n">
        <v>4.3</v>
      </c>
      <c r="H596" t="n">
        <v>3</v>
      </c>
      <c r="I596" t="n">
        <v>1</v>
      </c>
      <c r="J596" t="n">
        <v>1</v>
      </c>
      <c r="K596" t="n">
        <v>0</v>
      </c>
      <c r="L596" t="n">
        <v>0</v>
      </c>
      <c r="M596" t="n">
        <v>0</v>
      </c>
      <c r="N596" t="n">
        <v>0</v>
      </c>
      <c r="O596" t="n">
        <v>1</v>
      </c>
      <c r="P596" t="n">
        <v>0</v>
      </c>
      <c r="Q596" t="n">
        <v>4</v>
      </c>
      <c r="R596" s="2" t="inlineStr">
        <is>
          <t>Lunglav
Spindelblomster
Fläcknycklar
Revlummer</t>
        </is>
      </c>
      <c r="S596">
        <f>HYPERLINK("https://klasma.github.io/Logging_2481/artfynd/A 21068-2023 artfynd.xlsx", "A 21068-2023")</f>
        <v/>
      </c>
      <c r="T596">
        <f>HYPERLINK("https://klasma.github.io/Logging_2481/kartor/A 21068-2023 karta.png", "A 21068-2023")</f>
        <v/>
      </c>
      <c r="V596">
        <f>HYPERLINK("https://klasma.github.io/Logging_2481/klagomål/A 21068-2023 FSC-klagomål.docx", "A 21068-2023")</f>
        <v/>
      </c>
      <c r="W596">
        <f>HYPERLINK("https://klasma.github.io/Logging_2481/klagomålsmail/A 21068-2023 FSC-klagomål mail.docx", "A 21068-2023")</f>
        <v/>
      </c>
      <c r="X596">
        <f>HYPERLINK("https://klasma.github.io/Logging_2481/tillsyn/A 21068-2023 tillsynsbegäran.docx", "A 21068-2023")</f>
        <v/>
      </c>
      <c r="Y596">
        <f>HYPERLINK("https://klasma.github.io/Logging_2481/tillsynsmail/A 21068-2023 tillsynsbegäran mail.docx", "A 21068-2023")</f>
        <v/>
      </c>
    </row>
    <row r="597" ht="15" customHeight="1">
      <c r="A597" t="inlineStr">
        <is>
          <t>A 31198-2023</t>
        </is>
      </c>
      <c r="B597" s="1" t="n">
        <v>45113</v>
      </c>
      <c r="C597" s="1" t="n">
        <v>45718</v>
      </c>
      <c r="D597" t="inlineStr">
        <is>
          <t>VÄSTERBOTTENS LÄN</t>
        </is>
      </c>
      <c r="E597" t="inlineStr">
        <is>
          <t>VILHELMINA</t>
        </is>
      </c>
      <c r="F597" t="inlineStr">
        <is>
          <t>SCA</t>
        </is>
      </c>
      <c r="G597" t="n">
        <v>4.2</v>
      </c>
      <c r="H597" t="n">
        <v>1</v>
      </c>
      <c r="I597" t="n">
        <v>0</v>
      </c>
      <c r="J597" t="n">
        <v>4</v>
      </c>
      <c r="K597" t="n">
        <v>0</v>
      </c>
      <c r="L597" t="n">
        <v>0</v>
      </c>
      <c r="M597" t="n">
        <v>0</v>
      </c>
      <c r="N597" t="n">
        <v>0</v>
      </c>
      <c r="O597" t="n">
        <v>4</v>
      </c>
      <c r="P597" t="n">
        <v>0</v>
      </c>
      <c r="Q597" t="n">
        <v>4</v>
      </c>
      <c r="R597" s="2" t="inlineStr">
        <is>
          <t>Garnlav
Knottrig blåslav
Tretåig hackspett
Vitgrynig nållav</t>
        </is>
      </c>
      <c r="S597">
        <f>HYPERLINK("https://klasma.github.io/Logging_2462/artfynd/A 31198-2023 artfynd.xlsx", "A 31198-2023")</f>
        <v/>
      </c>
      <c r="T597">
        <f>HYPERLINK("https://klasma.github.io/Logging_2462/kartor/A 31198-2023 karta.png", "A 31198-2023")</f>
        <v/>
      </c>
      <c r="V597">
        <f>HYPERLINK("https://klasma.github.io/Logging_2462/klagomål/A 31198-2023 FSC-klagomål.docx", "A 31198-2023")</f>
        <v/>
      </c>
      <c r="W597">
        <f>HYPERLINK("https://klasma.github.io/Logging_2462/klagomålsmail/A 31198-2023 FSC-klagomål mail.docx", "A 31198-2023")</f>
        <v/>
      </c>
      <c r="X597">
        <f>HYPERLINK("https://klasma.github.io/Logging_2462/tillsyn/A 31198-2023 tillsynsbegäran.docx", "A 31198-2023")</f>
        <v/>
      </c>
      <c r="Y597">
        <f>HYPERLINK("https://klasma.github.io/Logging_2462/tillsynsmail/A 31198-2023 tillsynsbegäran mail.docx", "A 31198-2023")</f>
        <v/>
      </c>
      <c r="Z597">
        <f>HYPERLINK("https://klasma.github.io/Logging_2462/fåglar/A 31198-2023 prioriterade fågelarter.docx", "A 31198-2023")</f>
        <v/>
      </c>
    </row>
    <row r="598" ht="15" customHeight="1">
      <c r="A598" t="inlineStr">
        <is>
          <t>A 32211-2023</t>
        </is>
      </c>
      <c r="B598" s="1" t="n">
        <v>45119</v>
      </c>
      <c r="C598" s="1" t="n">
        <v>45718</v>
      </c>
      <c r="D598" t="inlineStr">
        <is>
          <t>VÄSTERBOTTENS LÄN</t>
        </is>
      </c>
      <c r="E598" t="inlineStr">
        <is>
          <t>ROBERTSFORS</t>
        </is>
      </c>
      <c r="F598" t="inlineStr">
        <is>
          <t>SCA</t>
        </is>
      </c>
      <c r="G598" t="n">
        <v>14.4</v>
      </c>
      <c r="H598" t="n">
        <v>1</v>
      </c>
      <c r="I598" t="n">
        <v>0</v>
      </c>
      <c r="J598" t="n">
        <v>3</v>
      </c>
      <c r="K598" t="n">
        <v>1</v>
      </c>
      <c r="L598" t="n">
        <v>0</v>
      </c>
      <c r="M598" t="n">
        <v>0</v>
      </c>
      <c r="N598" t="n">
        <v>0</v>
      </c>
      <c r="O598" t="n">
        <v>4</v>
      </c>
      <c r="P598" t="n">
        <v>1</v>
      </c>
      <c r="Q598" t="n">
        <v>4</v>
      </c>
      <c r="R598" s="2" t="inlineStr">
        <is>
          <t>Gräddporing
Granticka
Tallticka
Talltita</t>
        </is>
      </c>
      <c r="S598">
        <f>HYPERLINK("https://klasma.github.io/Logging_2409/artfynd/A 32211-2023 artfynd.xlsx", "A 32211-2023")</f>
        <v/>
      </c>
      <c r="T598">
        <f>HYPERLINK("https://klasma.github.io/Logging_2409/kartor/A 32211-2023 karta.png", "A 32211-2023")</f>
        <v/>
      </c>
      <c r="V598">
        <f>HYPERLINK("https://klasma.github.io/Logging_2409/klagomål/A 32211-2023 FSC-klagomål.docx", "A 32211-2023")</f>
        <v/>
      </c>
      <c r="W598">
        <f>HYPERLINK("https://klasma.github.io/Logging_2409/klagomålsmail/A 32211-2023 FSC-klagomål mail.docx", "A 32211-2023")</f>
        <v/>
      </c>
      <c r="X598">
        <f>HYPERLINK("https://klasma.github.io/Logging_2409/tillsyn/A 32211-2023 tillsynsbegäran.docx", "A 32211-2023")</f>
        <v/>
      </c>
      <c r="Y598">
        <f>HYPERLINK("https://klasma.github.io/Logging_2409/tillsynsmail/A 32211-2023 tillsynsbegäran mail.docx", "A 32211-2023")</f>
        <v/>
      </c>
      <c r="Z598">
        <f>HYPERLINK("https://klasma.github.io/Logging_2409/fåglar/A 32211-2023 prioriterade fågelarter.docx", "A 32211-2023")</f>
        <v/>
      </c>
    </row>
    <row r="599" ht="15" customHeight="1">
      <c r="A599" t="inlineStr">
        <is>
          <t>A 34033-2023</t>
        </is>
      </c>
      <c r="B599" s="1" t="n">
        <v>45124</v>
      </c>
      <c r="C599" s="1" t="n">
        <v>45718</v>
      </c>
      <c r="D599" t="inlineStr">
        <is>
          <t>VÄSTERBOTTENS LÄN</t>
        </is>
      </c>
      <c r="E599" t="inlineStr">
        <is>
          <t>SORSELE</t>
        </is>
      </c>
      <c r="G599" t="n">
        <v>53.4</v>
      </c>
      <c r="H599" t="n">
        <v>1</v>
      </c>
      <c r="I599" t="n">
        <v>0</v>
      </c>
      <c r="J599" t="n">
        <v>3</v>
      </c>
      <c r="K599" t="n">
        <v>0</v>
      </c>
      <c r="L599" t="n">
        <v>0</v>
      </c>
      <c r="M599" t="n">
        <v>0</v>
      </c>
      <c r="N599" t="n">
        <v>0</v>
      </c>
      <c r="O599" t="n">
        <v>3</v>
      </c>
      <c r="P599" t="n">
        <v>0</v>
      </c>
      <c r="Q599" t="n">
        <v>4</v>
      </c>
      <c r="R599" s="2" t="inlineStr">
        <is>
          <t>Blanksvart spiklav
Blågrå svartspik
Garnlav
Tjäder</t>
        </is>
      </c>
      <c r="S599">
        <f>HYPERLINK("https://klasma.github.io/Logging_2422/artfynd/A 34033-2023 artfynd.xlsx", "A 34033-2023")</f>
        <v/>
      </c>
      <c r="T599">
        <f>HYPERLINK("https://klasma.github.io/Logging_2422/kartor/A 34033-2023 karta.png", "A 34033-2023")</f>
        <v/>
      </c>
      <c r="V599">
        <f>HYPERLINK("https://klasma.github.io/Logging_2422/klagomål/A 34033-2023 FSC-klagomål.docx", "A 34033-2023")</f>
        <v/>
      </c>
      <c r="W599">
        <f>HYPERLINK("https://klasma.github.io/Logging_2422/klagomålsmail/A 34033-2023 FSC-klagomål mail.docx", "A 34033-2023")</f>
        <v/>
      </c>
      <c r="X599">
        <f>HYPERLINK("https://klasma.github.io/Logging_2422/tillsyn/A 34033-2023 tillsynsbegäran.docx", "A 34033-2023")</f>
        <v/>
      </c>
      <c r="Y599">
        <f>HYPERLINK("https://klasma.github.io/Logging_2422/tillsynsmail/A 34033-2023 tillsynsbegäran mail.docx", "A 34033-2023")</f>
        <v/>
      </c>
      <c r="Z599">
        <f>HYPERLINK("https://klasma.github.io/Logging_2422/fåglar/A 34033-2023 prioriterade fågelarter.docx", "A 34033-2023")</f>
        <v/>
      </c>
    </row>
    <row r="600" ht="15" customHeight="1">
      <c r="A600" t="inlineStr">
        <is>
          <t>A 35626-2023</t>
        </is>
      </c>
      <c r="B600" s="1" t="n">
        <v>45147</v>
      </c>
      <c r="C600" s="1" t="n">
        <v>45718</v>
      </c>
      <c r="D600" t="inlineStr">
        <is>
          <t>VÄSTERBOTTENS LÄN</t>
        </is>
      </c>
      <c r="E600" t="inlineStr">
        <is>
          <t>ROBERTSFORS</t>
        </is>
      </c>
      <c r="F600" t="inlineStr">
        <is>
          <t>Holmen skog AB</t>
        </is>
      </c>
      <c r="G600" t="n">
        <v>3.5</v>
      </c>
      <c r="H600" t="n">
        <v>0</v>
      </c>
      <c r="I600" t="n">
        <v>1</v>
      </c>
      <c r="J600" t="n">
        <v>3</v>
      </c>
      <c r="K600" t="n">
        <v>0</v>
      </c>
      <c r="L600" t="n">
        <v>0</v>
      </c>
      <c r="M600" t="n">
        <v>0</v>
      </c>
      <c r="N600" t="n">
        <v>0</v>
      </c>
      <c r="O600" t="n">
        <v>3</v>
      </c>
      <c r="P600" t="n">
        <v>0</v>
      </c>
      <c r="Q600" t="n">
        <v>4</v>
      </c>
      <c r="R600" s="2" t="inlineStr">
        <is>
          <t>Granticka
Ullticka
Violettgrå tagellav
Vedticka</t>
        </is>
      </c>
      <c r="S600">
        <f>HYPERLINK("https://klasma.github.io/Logging_2409/artfynd/A 35626-2023 artfynd.xlsx", "A 35626-2023")</f>
        <v/>
      </c>
      <c r="T600">
        <f>HYPERLINK("https://klasma.github.io/Logging_2409/kartor/A 35626-2023 karta.png", "A 35626-2023")</f>
        <v/>
      </c>
      <c r="U600">
        <f>HYPERLINK("https://klasma.github.io/Logging_2409/knärot/A 35626-2023 karta knärot.png", "A 35626-2023")</f>
        <v/>
      </c>
      <c r="V600">
        <f>HYPERLINK("https://klasma.github.io/Logging_2409/klagomål/A 35626-2023 FSC-klagomål.docx", "A 35626-2023")</f>
        <v/>
      </c>
      <c r="W600">
        <f>HYPERLINK("https://klasma.github.io/Logging_2409/klagomålsmail/A 35626-2023 FSC-klagomål mail.docx", "A 35626-2023")</f>
        <v/>
      </c>
      <c r="X600">
        <f>HYPERLINK("https://klasma.github.io/Logging_2409/tillsyn/A 35626-2023 tillsynsbegäran.docx", "A 35626-2023")</f>
        <v/>
      </c>
      <c r="Y600">
        <f>HYPERLINK("https://klasma.github.io/Logging_2409/tillsynsmail/A 35626-2023 tillsynsbegäran mail.docx", "A 35626-2023")</f>
        <v/>
      </c>
    </row>
    <row r="601" ht="15" customHeight="1">
      <c r="A601" t="inlineStr">
        <is>
          <t>A 35927-2023</t>
        </is>
      </c>
      <c r="B601" s="1" t="n">
        <v>45148</v>
      </c>
      <c r="C601" s="1" t="n">
        <v>45718</v>
      </c>
      <c r="D601" t="inlineStr">
        <is>
          <t>VÄSTERBOTTENS LÄN</t>
        </is>
      </c>
      <c r="E601" t="inlineStr">
        <is>
          <t>VINDELN</t>
        </is>
      </c>
      <c r="G601" t="n">
        <v>7.1</v>
      </c>
      <c r="H601" t="n">
        <v>2</v>
      </c>
      <c r="I601" t="n">
        <v>2</v>
      </c>
      <c r="J601" t="n">
        <v>0</v>
      </c>
      <c r="K601" t="n">
        <v>0</v>
      </c>
      <c r="L601" t="n">
        <v>0</v>
      </c>
      <c r="M601" t="n">
        <v>0</v>
      </c>
      <c r="N601" t="n">
        <v>0</v>
      </c>
      <c r="O601" t="n">
        <v>0</v>
      </c>
      <c r="P601" t="n">
        <v>0</v>
      </c>
      <c r="Q601" t="n">
        <v>4</v>
      </c>
      <c r="R601" s="2" t="inlineStr">
        <is>
          <t>Skinnlav
Stuplav
Fläcknycklar
Nattviol</t>
        </is>
      </c>
      <c r="S601">
        <f>HYPERLINK("https://klasma.github.io/Logging_2404/artfynd/A 35927-2023 artfynd.xlsx", "A 35927-2023")</f>
        <v/>
      </c>
      <c r="T601">
        <f>HYPERLINK("https://klasma.github.io/Logging_2404/kartor/A 35927-2023 karta.png", "A 35927-2023")</f>
        <v/>
      </c>
      <c r="V601">
        <f>HYPERLINK("https://klasma.github.io/Logging_2404/klagomål/A 35927-2023 FSC-klagomål.docx", "A 35927-2023")</f>
        <v/>
      </c>
      <c r="W601">
        <f>HYPERLINK("https://klasma.github.io/Logging_2404/klagomålsmail/A 35927-2023 FSC-klagomål mail.docx", "A 35927-2023")</f>
        <v/>
      </c>
      <c r="X601">
        <f>HYPERLINK("https://klasma.github.io/Logging_2404/tillsyn/A 35927-2023 tillsynsbegäran.docx", "A 35927-2023")</f>
        <v/>
      </c>
      <c r="Y601">
        <f>HYPERLINK("https://klasma.github.io/Logging_2404/tillsynsmail/A 35927-2023 tillsynsbegäran mail.docx", "A 35927-2023")</f>
        <v/>
      </c>
    </row>
    <row r="602" ht="15" customHeight="1">
      <c r="A602" t="inlineStr">
        <is>
          <t>A 37137-2023</t>
        </is>
      </c>
      <c r="B602" s="1" t="n">
        <v>45155</v>
      </c>
      <c r="C602" s="1" t="n">
        <v>45718</v>
      </c>
      <c r="D602" t="inlineStr">
        <is>
          <t>VÄSTERBOTTENS LÄN</t>
        </is>
      </c>
      <c r="E602" t="inlineStr">
        <is>
          <t>MALÅ</t>
        </is>
      </c>
      <c r="F602" t="inlineStr">
        <is>
          <t>Kyrkan</t>
        </is>
      </c>
      <c r="G602" t="n">
        <v>17.6</v>
      </c>
      <c r="H602" t="n">
        <v>1</v>
      </c>
      <c r="I602" t="n">
        <v>0</v>
      </c>
      <c r="J602" t="n">
        <v>3</v>
      </c>
      <c r="K602" t="n">
        <v>1</v>
      </c>
      <c r="L602" t="n">
        <v>0</v>
      </c>
      <c r="M602" t="n">
        <v>0</v>
      </c>
      <c r="N602" t="n">
        <v>0</v>
      </c>
      <c r="O602" t="n">
        <v>4</v>
      </c>
      <c r="P602" t="n">
        <v>1</v>
      </c>
      <c r="Q602" t="n">
        <v>4</v>
      </c>
      <c r="R602" s="2" t="inlineStr">
        <is>
          <t>Doftticka
Garnlav
Lunglav
Skrovellav</t>
        </is>
      </c>
      <c r="S602">
        <f>HYPERLINK("https://klasma.github.io/Logging_2418/artfynd/A 37137-2023 artfynd.xlsx", "A 37137-2023")</f>
        <v/>
      </c>
      <c r="T602">
        <f>HYPERLINK("https://klasma.github.io/Logging_2418/kartor/A 37137-2023 karta.png", "A 37137-2023")</f>
        <v/>
      </c>
      <c r="V602">
        <f>HYPERLINK("https://klasma.github.io/Logging_2418/klagomål/A 37137-2023 FSC-klagomål.docx", "A 37137-2023")</f>
        <v/>
      </c>
      <c r="W602">
        <f>HYPERLINK("https://klasma.github.io/Logging_2418/klagomålsmail/A 37137-2023 FSC-klagomål mail.docx", "A 37137-2023")</f>
        <v/>
      </c>
      <c r="X602">
        <f>HYPERLINK("https://klasma.github.io/Logging_2418/tillsyn/A 37137-2023 tillsynsbegäran.docx", "A 37137-2023")</f>
        <v/>
      </c>
      <c r="Y602">
        <f>HYPERLINK("https://klasma.github.io/Logging_2418/tillsynsmail/A 37137-2023 tillsynsbegäran mail.docx", "A 37137-2023")</f>
        <v/>
      </c>
    </row>
    <row r="603" ht="15" customHeight="1">
      <c r="A603" t="inlineStr">
        <is>
          <t>A 37477-2023</t>
        </is>
      </c>
      <c r="B603" s="1" t="n">
        <v>45156</v>
      </c>
      <c r="C603" s="1" t="n">
        <v>45718</v>
      </c>
      <c r="D603" t="inlineStr">
        <is>
          <t>VÄSTERBOTTENS LÄN</t>
        </is>
      </c>
      <c r="E603" t="inlineStr">
        <is>
          <t>SKELLEFTEÅ</t>
        </is>
      </c>
      <c r="G603" t="n">
        <v>6.3</v>
      </c>
      <c r="H603" t="n">
        <v>0</v>
      </c>
      <c r="I603" t="n">
        <v>0</v>
      </c>
      <c r="J603" t="n">
        <v>4</v>
      </c>
      <c r="K603" t="n">
        <v>0</v>
      </c>
      <c r="L603" t="n">
        <v>0</v>
      </c>
      <c r="M603" t="n">
        <v>0</v>
      </c>
      <c r="N603" t="n">
        <v>0</v>
      </c>
      <c r="O603" t="n">
        <v>4</v>
      </c>
      <c r="P603" t="n">
        <v>0</v>
      </c>
      <c r="Q603" t="n">
        <v>4</v>
      </c>
      <c r="R603" s="2" t="inlineStr">
        <is>
          <t>Garnlav
Lunglav
Ullticka
Violettgrå tagellav</t>
        </is>
      </c>
      <c r="S603">
        <f>HYPERLINK("https://klasma.github.io/Logging_2482/artfynd/A 37477-2023 artfynd.xlsx", "A 37477-2023")</f>
        <v/>
      </c>
      <c r="T603">
        <f>HYPERLINK("https://klasma.github.io/Logging_2482/kartor/A 37477-2023 karta.png", "A 37477-2023")</f>
        <v/>
      </c>
      <c r="V603">
        <f>HYPERLINK("https://klasma.github.io/Logging_2482/klagomål/A 37477-2023 FSC-klagomål.docx", "A 37477-2023")</f>
        <v/>
      </c>
      <c r="W603">
        <f>HYPERLINK("https://klasma.github.io/Logging_2482/klagomålsmail/A 37477-2023 FSC-klagomål mail.docx", "A 37477-2023")</f>
        <v/>
      </c>
      <c r="X603">
        <f>HYPERLINK("https://klasma.github.io/Logging_2482/tillsyn/A 37477-2023 tillsynsbegäran.docx", "A 37477-2023")</f>
        <v/>
      </c>
      <c r="Y603">
        <f>HYPERLINK("https://klasma.github.io/Logging_2482/tillsynsmail/A 37477-2023 tillsynsbegäran mail.docx", "A 37477-2023")</f>
        <v/>
      </c>
    </row>
    <row r="604" ht="15" customHeight="1">
      <c r="A604" t="inlineStr">
        <is>
          <t>A 40122-2023</t>
        </is>
      </c>
      <c r="B604" s="1" t="n">
        <v>45169</v>
      </c>
      <c r="C604" s="1" t="n">
        <v>45718</v>
      </c>
      <c r="D604" t="inlineStr">
        <is>
          <t>VÄSTERBOTTENS LÄN</t>
        </is>
      </c>
      <c r="E604" t="inlineStr">
        <is>
          <t>ROBERTSFORS</t>
        </is>
      </c>
      <c r="G604" t="n">
        <v>10.8</v>
      </c>
      <c r="H604" t="n">
        <v>0</v>
      </c>
      <c r="I604" t="n">
        <v>1</v>
      </c>
      <c r="J604" t="n">
        <v>2</v>
      </c>
      <c r="K604" t="n">
        <v>1</v>
      </c>
      <c r="L604" t="n">
        <v>0</v>
      </c>
      <c r="M604" t="n">
        <v>0</v>
      </c>
      <c r="N604" t="n">
        <v>0</v>
      </c>
      <c r="O604" t="n">
        <v>3</v>
      </c>
      <c r="P604" t="n">
        <v>1</v>
      </c>
      <c r="Q604" t="n">
        <v>4</v>
      </c>
      <c r="R604" s="2" t="inlineStr">
        <is>
          <t>Goliatmusseron
Gammelgransskål
Orange taggsvamp
Dropptaggsvamp</t>
        </is>
      </c>
      <c r="S604">
        <f>HYPERLINK("https://klasma.github.io/Logging_2409/artfynd/A 40122-2023 artfynd.xlsx", "A 40122-2023")</f>
        <v/>
      </c>
      <c r="T604">
        <f>HYPERLINK("https://klasma.github.io/Logging_2409/kartor/A 40122-2023 karta.png", "A 40122-2023")</f>
        <v/>
      </c>
      <c r="V604">
        <f>HYPERLINK("https://klasma.github.io/Logging_2409/klagomål/A 40122-2023 FSC-klagomål.docx", "A 40122-2023")</f>
        <v/>
      </c>
      <c r="W604">
        <f>HYPERLINK("https://klasma.github.io/Logging_2409/klagomålsmail/A 40122-2023 FSC-klagomål mail.docx", "A 40122-2023")</f>
        <v/>
      </c>
      <c r="X604">
        <f>HYPERLINK("https://klasma.github.io/Logging_2409/tillsyn/A 40122-2023 tillsynsbegäran.docx", "A 40122-2023")</f>
        <v/>
      </c>
      <c r="Y604">
        <f>HYPERLINK("https://klasma.github.io/Logging_2409/tillsynsmail/A 40122-2023 tillsynsbegäran mail.docx", "A 40122-2023")</f>
        <v/>
      </c>
    </row>
    <row r="605" ht="15" customHeight="1">
      <c r="A605" t="inlineStr">
        <is>
          <t>A 44382-2023</t>
        </is>
      </c>
      <c r="B605" s="1" t="n">
        <v>45189</v>
      </c>
      <c r="C605" s="1" t="n">
        <v>45718</v>
      </c>
      <c r="D605" t="inlineStr">
        <is>
          <t>VÄSTERBOTTENS LÄN</t>
        </is>
      </c>
      <c r="E605" t="inlineStr">
        <is>
          <t>VILHELMINA</t>
        </is>
      </c>
      <c r="F605" t="inlineStr">
        <is>
          <t>SCA</t>
        </is>
      </c>
      <c r="G605" t="n">
        <v>2.8</v>
      </c>
      <c r="H605" t="n">
        <v>1</v>
      </c>
      <c r="I605" t="n">
        <v>1</v>
      </c>
      <c r="J605" t="n">
        <v>3</v>
      </c>
      <c r="K605" t="n">
        <v>0</v>
      </c>
      <c r="L605" t="n">
        <v>0</v>
      </c>
      <c r="M605" t="n">
        <v>0</v>
      </c>
      <c r="N605" t="n">
        <v>0</v>
      </c>
      <c r="O605" t="n">
        <v>3</v>
      </c>
      <c r="P605" t="n">
        <v>0</v>
      </c>
      <c r="Q605" t="n">
        <v>4</v>
      </c>
      <c r="R605" s="2" t="inlineStr">
        <is>
          <t>Garnlav
Lunglav
Talltita
Stuplav</t>
        </is>
      </c>
      <c r="S605">
        <f>HYPERLINK("https://klasma.github.io/Logging_2462/artfynd/A 44382-2023 artfynd.xlsx", "A 44382-2023")</f>
        <v/>
      </c>
      <c r="T605">
        <f>HYPERLINK("https://klasma.github.io/Logging_2462/kartor/A 44382-2023 karta.png", "A 44382-2023")</f>
        <v/>
      </c>
      <c r="V605">
        <f>HYPERLINK("https://klasma.github.io/Logging_2462/klagomål/A 44382-2023 FSC-klagomål.docx", "A 44382-2023")</f>
        <v/>
      </c>
      <c r="W605">
        <f>HYPERLINK("https://klasma.github.io/Logging_2462/klagomålsmail/A 44382-2023 FSC-klagomål mail.docx", "A 44382-2023")</f>
        <v/>
      </c>
      <c r="X605">
        <f>HYPERLINK("https://klasma.github.io/Logging_2462/tillsyn/A 44382-2023 tillsynsbegäran.docx", "A 44382-2023")</f>
        <v/>
      </c>
      <c r="Y605">
        <f>HYPERLINK("https://klasma.github.io/Logging_2462/tillsynsmail/A 44382-2023 tillsynsbegäran mail.docx", "A 44382-2023")</f>
        <v/>
      </c>
      <c r="Z605">
        <f>HYPERLINK("https://klasma.github.io/Logging_2462/fåglar/A 44382-2023 prioriterade fågelarter.docx", "A 44382-2023")</f>
        <v/>
      </c>
    </row>
    <row r="606" ht="15" customHeight="1">
      <c r="A606" t="inlineStr">
        <is>
          <t>A 46092-2023</t>
        </is>
      </c>
      <c r="B606" s="1" t="n">
        <v>45190</v>
      </c>
      <c r="C606" s="1" t="n">
        <v>45718</v>
      </c>
      <c r="D606" t="inlineStr">
        <is>
          <t>VÄSTERBOTTENS LÄN</t>
        </is>
      </c>
      <c r="E606" t="inlineStr">
        <is>
          <t>SKELLEFTEÅ</t>
        </is>
      </c>
      <c r="G606" t="n">
        <v>8.699999999999999</v>
      </c>
      <c r="H606" t="n">
        <v>0</v>
      </c>
      <c r="I606" t="n">
        <v>3</v>
      </c>
      <c r="J606" t="n">
        <v>1</v>
      </c>
      <c r="K606" t="n">
        <v>0</v>
      </c>
      <c r="L606" t="n">
        <v>0</v>
      </c>
      <c r="M606" t="n">
        <v>0</v>
      </c>
      <c r="N606" t="n">
        <v>0</v>
      </c>
      <c r="O606" t="n">
        <v>1</v>
      </c>
      <c r="P606" t="n">
        <v>0</v>
      </c>
      <c r="Q606" t="n">
        <v>4</v>
      </c>
      <c r="R606" s="2" t="inlineStr">
        <is>
          <t>Violettgrå tagellav
Luddlav
Skinnlav
Stuplav</t>
        </is>
      </c>
      <c r="S606">
        <f>HYPERLINK("https://klasma.github.io/Logging_2482/artfynd/A 46092-2023 artfynd.xlsx", "A 46092-2023")</f>
        <v/>
      </c>
      <c r="T606">
        <f>HYPERLINK("https://klasma.github.io/Logging_2482/kartor/A 46092-2023 karta.png", "A 46092-2023")</f>
        <v/>
      </c>
      <c r="V606">
        <f>HYPERLINK("https://klasma.github.io/Logging_2482/klagomål/A 46092-2023 FSC-klagomål.docx", "A 46092-2023")</f>
        <v/>
      </c>
      <c r="W606">
        <f>HYPERLINK("https://klasma.github.io/Logging_2482/klagomålsmail/A 46092-2023 FSC-klagomål mail.docx", "A 46092-2023")</f>
        <v/>
      </c>
      <c r="X606">
        <f>HYPERLINK("https://klasma.github.io/Logging_2482/tillsyn/A 46092-2023 tillsynsbegäran.docx", "A 46092-2023")</f>
        <v/>
      </c>
      <c r="Y606">
        <f>HYPERLINK("https://klasma.github.io/Logging_2482/tillsynsmail/A 46092-2023 tillsynsbegäran mail.docx", "A 46092-2023")</f>
        <v/>
      </c>
    </row>
    <row r="607" ht="15" customHeight="1">
      <c r="A607" t="inlineStr">
        <is>
          <t>A 45691-2023</t>
        </is>
      </c>
      <c r="B607" s="1" t="n">
        <v>45195</v>
      </c>
      <c r="C607" s="1" t="n">
        <v>45718</v>
      </c>
      <c r="D607" t="inlineStr">
        <is>
          <t>VÄSTERBOTTENS LÄN</t>
        </is>
      </c>
      <c r="E607" t="inlineStr">
        <is>
          <t>UMEÅ</t>
        </is>
      </c>
      <c r="F607" t="inlineStr">
        <is>
          <t>Holmen skog AB</t>
        </is>
      </c>
      <c r="G607" t="n">
        <v>5.1</v>
      </c>
      <c r="H607" t="n">
        <v>1</v>
      </c>
      <c r="I607" t="n">
        <v>1</v>
      </c>
      <c r="J607" t="n">
        <v>3</v>
      </c>
      <c r="K607" t="n">
        <v>0</v>
      </c>
      <c r="L607" t="n">
        <v>0</v>
      </c>
      <c r="M607" t="n">
        <v>0</v>
      </c>
      <c r="N607" t="n">
        <v>0</v>
      </c>
      <c r="O607" t="n">
        <v>3</v>
      </c>
      <c r="P607" t="n">
        <v>0</v>
      </c>
      <c r="Q607" t="n">
        <v>4</v>
      </c>
      <c r="R607" s="2" t="inlineStr">
        <is>
          <t>Garnlav
Tretåig hackspett
Vaddporing
Stuplav</t>
        </is>
      </c>
      <c r="S607">
        <f>HYPERLINK("https://klasma.github.io/Logging_2480/artfynd/A 45691-2023 artfynd.xlsx", "A 45691-2023")</f>
        <v/>
      </c>
      <c r="T607">
        <f>HYPERLINK("https://klasma.github.io/Logging_2480/kartor/A 45691-2023 karta.png", "A 45691-2023")</f>
        <v/>
      </c>
      <c r="V607">
        <f>HYPERLINK("https://klasma.github.io/Logging_2480/klagomål/A 45691-2023 FSC-klagomål.docx", "A 45691-2023")</f>
        <v/>
      </c>
      <c r="W607">
        <f>HYPERLINK("https://klasma.github.io/Logging_2480/klagomålsmail/A 45691-2023 FSC-klagomål mail.docx", "A 45691-2023")</f>
        <v/>
      </c>
      <c r="X607">
        <f>HYPERLINK("https://klasma.github.io/Logging_2480/tillsyn/A 45691-2023 tillsynsbegäran.docx", "A 45691-2023")</f>
        <v/>
      </c>
      <c r="Y607">
        <f>HYPERLINK("https://klasma.github.io/Logging_2480/tillsynsmail/A 45691-2023 tillsynsbegäran mail.docx", "A 45691-2023")</f>
        <v/>
      </c>
      <c r="Z607">
        <f>HYPERLINK("https://klasma.github.io/Logging_2480/fåglar/A 45691-2023 prioriterade fågelarter.docx", "A 45691-2023")</f>
        <v/>
      </c>
    </row>
    <row r="608" ht="15" customHeight="1">
      <c r="A608" t="inlineStr">
        <is>
          <t>A 49026-2023</t>
        </is>
      </c>
      <c r="B608" s="1" t="n">
        <v>45209</v>
      </c>
      <c r="C608" s="1" t="n">
        <v>45718</v>
      </c>
      <c r="D608" t="inlineStr">
        <is>
          <t>VÄSTERBOTTENS LÄN</t>
        </is>
      </c>
      <c r="E608" t="inlineStr">
        <is>
          <t>UMEÅ</t>
        </is>
      </c>
      <c r="G608" t="n">
        <v>3.7</v>
      </c>
      <c r="H608" t="n">
        <v>2</v>
      </c>
      <c r="I608" t="n">
        <v>0</v>
      </c>
      <c r="J608" t="n">
        <v>4</v>
      </c>
      <c r="K608" t="n">
        <v>0</v>
      </c>
      <c r="L608" t="n">
        <v>0</v>
      </c>
      <c r="M608" t="n">
        <v>0</v>
      </c>
      <c r="N608" t="n">
        <v>0</v>
      </c>
      <c r="O608" t="n">
        <v>4</v>
      </c>
      <c r="P608" t="n">
        <v>0</v>
      </c>
      <c r="Q608" t="n">
        <v>4</v>
      </c>
      <c r="R608" s="2" t="inlineStr">
        <is>
          <t>Granticka
Spillkråka
Talltita
Ullticka</t>
        </is>
      </c>
      <c r="S608">
        <f>HYPERLINK("https://klasma.github.io/Logging_2480/artfynd/A 49026-2023 artfynd.xlsx", "A 49026-2023")</f>
        <v/>
      </c>
      <c r="T608">
        <f>HYPERLINK("https://klasma.github.io/Logging_2480/kartor/A 49026-2023 karta.png", "A 49026-2023")</f>
        <v/>
      </c>
      <c r="V608">
        <f>HYPERLINK("https://klasma.github.io/Logging_2480/klagomål/A 49026-2023 FSC-klagomål.docx", "A 49026-2023")</f>
        <v/>
      </c>
      <c r="W608">
        <f>HYPERLINK("https://klasma.github.io/Logging_2480/klagomålsmail/A 49026-2023 FSC-klagomål mail.docx", "A 49026-2023")</f>
        <v/>
      </c>
      <c r="X608">
        <f>HYPERLINK("https://klasma.github.io/Logging_2480/tillsyn/A 49026-2023 tillsynsbegäran.docx", "A 49026-2023")</f>
        <v/>
      </c>
      <c r="Y608">
        <f>HYPERLINK("https://klasma.github.io/Logging_2480/tillsynsmail/A 49026-2023 tillsynsbegäran mail.docx", "A 49026-2023")</f>
        <v/>
      </c>
      <c r="Z608">
        <f>HYPERLINK("https://klasma.github.io/Logging_2480/fåglar/A 49026-2023 prioriterade fågelarter.docx", "A 49026-2023")</f>
        <v/>
      </c>
    </row>
    <row r="609" ht="15" customHeight="1">
      <c r="A609" t="inlineStr">
        <is>
          <t>A 50665-2023</t>
        </is>
      </c>
      <c r="B609" s="1" t="n">
        <v>45217</v>
      </c>
      <c r="C609" s="1" t="n">
        <v>45718</v>
      </c>
      <c r="D609" t="inlineStr">
        <is>
          <t>VÄSTERBOTTENS LÄN</t>
        </is>
      </c>
      <c r="E609" t="inlineStr">
        <is>
          <t>VINDELN</t>
        </is>
      </c>
      <c r="F609" t="inlineStr">
        <is>
          <t>Holmen skog AB</t>
        </is>
      </c>
      <c r="G609" t="n">
        <v>7.3</v>
      </c>
      <c r="H609" t="n">
        <v>3</v>
      </c>
      <c r="I609" t="n">
        <v>0</v>
      </c>
      <c r="J609" t="n">
        <v>1</v>
      </c>
      <c r="K609" t="n">
        <v>1</v>
      </c>
      <c r="L609" t="n">
        <v>0</v>
      </c>
      <c r="M609" t="n">
        <v>0</v>
      </c>
      <c r="N609" t="n">
        <v>0</v>
      </c>
      <c r="O609" t="n">
        <v>2</v>
      </c>
      <c r="P609" t="n">
        <v>1</v>
      </c>
      <c r="Q609" t="n">
        <v>4</v>
      </c>
      <c r="R609" s="2" t="inlineStr">
        <is>
          <t>Turkos blåvinge
Höstlåsbräken
Fläcknycklar
Nattviol</t>
        </is>
      </c>
      <c r="S609">
        <f>HYPERLINK("https://klasma.github.io/Logging_2404/artfynd/A 50665-2023 artfynd.xlsx", "A 50665-2023")</f>
        <v/>
      </c>
      <c r="T609">
        <f>HYPERLINK("https://klasma.github.io/Logging_2404/kartor/A 50665-2023 karta.png", "A 50665-2023")</f>
        <v/>
      </c>
      <c r="V609">
        <f>HYPERLINK("https://klasma.github.io/Logging_2404/klagomål/A 50665-2023 FSC-klagomål.docx", "A 50665-2023")</f>
        <v/>
      </c>
      <c r="W609">
        <f>HYPERLINK("https://klasma.github.io/Logging_2404/klagomålsmail/A 50665-2023 FSC-klagomål mail.docx", "A 50665-2023")</f>
        <v/>
      </c>
      <c r="X609">
        <f>HYPERLINK("https://klasma.github.io/Logging_2404/tillsyn/A 50665-2023 tillsynsbegäran.docx", "A 50665-2023")</f>
        <v/>
      </c>
      <c r="Y609">
        <f>HYPERLINK("https://klasma.github.io/Logging_2404/tillsynsmail/A 50665-2023 tillsynsbegäran mail.docx", "A 50665-2023")</f>
        <v/>
      </c>
    </row>
    <row r="610" ht="15" customHeight="1">
      <c r="A610" t="inlineStr">
        <is>
          <t>A 52791-2023</t>
        </is>
      </c>
      <c r="B610" s="1" t="n">
        <v>45219</v>
      </c>
      <c r="C610" s="1" t="n">
        <v>45718</v>
      </c>
      <c r="D610" t="inlineStr">
        <is>
          <t>VÄSTERBOTTENS LÄN</t>
        </is>
      </c>
      <c r="E610" t="inlineStr">
        <is>
          <t>NORDMALING</t>
        </is>
      </c>
      <c r="G610" t="n">
        <v>5.6</v>
      </c>
      <c r="H610" t="n">
        <v>1</v>
      </c>
      <c r="I610" t="n">
        <v>1</v>
      </c>
      <c r="J610" t="n">
        <v>3</v>
      </c>
      <c r="K610" t="n">
        <v>0</v>
      </c>
      <c r="L610" t="n">
        <v>0</v>
      </c>
      <c r="M610" t="n">
        <v>0</v>
      </c>
      <c r="N610" t="n">
        <v>0</v>
      </c>
      <c r="O610" t="n">
        <v>3</v>
      </c>
      <c r="P610" t="n">
        <v>0</v>
      </c>
      <c r="Q610" t="n">
        <v>4</v>
      </c>
      <c r="R610" s="2" t="inlineStr">
        <is>
          <t>Gammelgransskål
Garnlav
Spillkråka
Vedticka</t>
        </is>
      </c>
      <c r="S610">
        <f>HYPERLINK("https://klasma.github.io/Logging_2401/artfynd/A 52791-2023 artfynd.xlsx", "A 52791-2023")</f>
        <v/>
      </c>
      <c r="T610">
        <f>HYPERLINK("https://klasma.github.io/Logging_2401/kartor/A 52791-2023 karta.png", "A 52791-2023")</f>
        <v/>
      </c>
      <c r="V610">
        <f>HYPERLINK("https://klasma.github.io/Logging_2401/klagomål/A 52791-2023 FSC-klagomål.docx", "A 52791-2023")</f>
        <v/>
      </c>
      <c r="W610">
        <f>HYPERLINK("https://klasma.github.io/Logging_2401/klagomålsmail/A 52791-2023 FSC-klagomål mail.docx", "A 52791-2023")</f>
        <v/>
      </c>
      <c r="X610">
        <f>HYPERLINK("https://klasma.github.io/Logging_2401/tillsyn/A 52791-2023 tillsynsbegäran.docx", "A 52791-2023")</f>
        <v/>
      </c>
      <c r="Y610">
        <f>HYPERLINK("https://klasma.github.io/Logging_2401/tillsynsmail/A 52791-2023 tillsynsbegäran mail.docx", "A 52791-2023")</f>
        <v/>
      </c>
      <c r="Z610">
        <f>HYPERLINK("https://klasma.github.io/Logging_2401/fåglar/A 52791-2023 prioriterade fågelarter.docx", "A 52791-2023")</f>
        <v/>
      </c>
    </row>
    <row r="611" ht="15" customHeight="1">
      <c r="A611" t="inlineStr">
        <is>
          <t>A 52634-2023</t>
        </is>
      </c>
      <c r="B611" s="1" t="n">
        <v>45225</v>
      </c>
      <c r="C611" s="1" t="n">
        <v>45718</v>
      </c>
      <c r="D611" t="inlineStr">
        <is>
          <t>VÄSTERBOTTENS LÄN</t>
        </is>
      </c>
      <c r="E611" t="inlineStr">
        <is>
          <t>VINDELN</t>
        </is>
      </c>
      <c r="G611" t="n">
        <v>1</v>
      </c>
      <c r="H611" t="n">
        <v>0</v>
      </c>
      <c r="I611" t="n">
        <v>0</v>
      </c>
      <c r="J611" t="n">
        <v>4</v>
      </c>
      <c r="K611" t="n">
        <v>0</v>
      </c>
      <c r="L611" t="n">
        <v>0</v>
      </c>
      <c r="M611" t="n">
        <v>0</v>
      </c>
      <c r="N611" t="n">
        <v>0</v>
      </c>
      <c r="O611" t="n">
        <v>4</v>
      </c>
      <c r="P611" t="n">
        <v>0</v>
      </c>
      <c r="Q611" t="n">
        <v>4</v>
      </c>
      <c r="R611" s="2" t="inlineStr">
        <is>
          <t>Garnlav
Granticka
Kortskaftad ärgspik
Vitgrynig nållav</t>
        </is>
      </c>
      <c r="S611">
        <f>HYPERLINK("https://klasma.github.io/Logging_2404/artfynd/A 52634-2023 artfynd.xlsx", "A 52634-2023")</f>
        <v/>
      </c>
      <c r="T611">
        <f>HYPERLINK("https://klasma.github.io/Logging_2404/kartor/A 52634-2023 karta.png", "A 52634-2023")</f>
        <v/>
      </c>
      <c r="V611">
        <f>HYPERLINK("https://klasma.github.io/Logging_2404/klagomål/A 52634-2023 FSC-klagomål.docx", "A 52634-2023")</f>
        <v/>
      </c>
      <c r="W611">
        <f>HYPERLINK("https://klasma.github.io/Logging_2404/klagomålsmail/A 52634-2023 FSC-klagomål mail.docx", "A 52634-2023")</f>
        <v/>
      </c>
      <c r="X611">
        <f>HYPERLINK("https://klasma.github.io/Logging_2404/tillsyn/A 52634-2023 tillsynsbegäran.docx", "A 52634-2023")</f>
        <v/>
      </c>
      <c r="Y611">
        <f>HYPERLINK("https://klasma.github.io/Logging_2404/tillsynsmail/A 52634-2023 tillsynsbegäran mail.docx", "A 52634-2023")</f>
        <v/>
      </c>
    </row>
    <row r="612" ht="15" customHeight="1">
      <c r="A612" t="inlineStr">
        <is>
          <t>A 53793-2023</t>
        </is>
      </c>
      <c r="B612" s="1" t="n">
        <v>45231</v>
      </c>
      <c r="C612" s="1" t="n">
        <v>45718</v>
      </c>
      <c r="D612" t="inlineStr">
        <is>
          <t>VÄSTERBOTTENS LÄN</t>
        </is>
      </c>
      <c r="E612" t="inlineStr">
        <is>
          <t>LYCKSELE</t>
        </is>
      </c>
      <c r="F612" t="inlineStr">
        <is>
          <t>Sveaskog</t>
        </is>
      </c>
      <c r="G612" t="n">
        <v>5.7</v>
      </c>
      <c r="H612" t="n">
        <v>0</v>
      </c>
      <c r="I612" t="n">
        <v>1</v>
      </c>
      <c r="J612" t="n">
        <v>3</v>
      </c>
      <c r="K612" t="n">
        <v>0</v>
      </c>
      <c r="L612" t="n">
        <v>0</v>
      </c>
      <c r="M612" t="n">
        <v>0</v>
      </c>
      <c r="N612" t="n">
        <v>0</v>
      </c>
      <c r="O612" t="n">
        <v>3</v>
      </c>
      <c r="P612" t="n">
        <v>0</v>
      </c>
      <c r="Q612" t="n">
        <v>4</v>
      </c>
      <c r="R612" s="2" t="inlineStr">
        <is>
          <t>Blå taggsvamp
Lunglav
Violmussling
Dropptaggsvamp</t>
        </is>
      </c>
      <c r="S612">
        <f>HYPERLINK("https://klasma.github.io/Logging_2481/artfynd/A 53793-2023 artfynd.xlsx", "A 53793-2023")</f>
        <v/>
      </c>
      <c r="T612">
        <f>HYPERLINK("https://klasma.github.io/Logging_2481/kartor/A 53793-2023 karta.png", "A 53793-2023")</f>
        <v/>
      </c>
      <c r="V612">
        <f>HYPERLINK("https://klasma.github.io/Logging_2481/klagomål/A 53793-2023 FSC-klagomål.docx", "A 53793-2023")</f>
        <v/>
      </c>
      <c r="W612">
        <f>HYPERLINK("https://klasma.github.io/Logging_2481/klagomålsmail/A 53793-2023 FSC-klagomål mail.docx", "A 53793-2023")</f>
        <v/>
      </c>
      <c r="X612">
        <f>HYPERLINK("https://klasma.github.io/Logging_2481/tillsyn/A 53793-2023 tillsynsbegäran.docx", "A 53793-2023")</f>
        <v/>
      </c>
      <c r="Y612">
        <f>HYPERLINK("https://klasma.github.io/Logging_2481/tillsynsmail/A 53793-2023 tillsynsbegäran mail.docx", "A 53793-2023")</f>
        <v/>
      </c>
    </row>
    <row r="613" ht="15" customHeight="1">
      <c r="A613" t="inlineStr">
        <is>
          <t>A 61748-2023</t>
        </is>
      </c>
      <c r="B613" s="1" t="n">
        <v>45264</v>
      </c>
      <c r="C613" s="1" t="n">
        <v>45718</v>
      </c>
      <c r="D613" t="inlineStr">
        <is>
          <t>VÄSTERBOTTENS LÄN</t>
        </is>
      </c>
      <c r="E613" t="inlineStr">
        <is>
          <t>BJURHOLM</t>
        </is>
      </c>
      <c r="G613" t="n">
        <v>5.9</v>
      </c>
      <c r="H613" t="n">
        <v>0</v>
      </c>
      <c r="I613" t="n">
        <v>1</v>
      </c>
      <c r="J613" t="n">
        <v>3</v>
      </c>
      <c r="K613" t="n">
        <v>0</v>
      </c>
      <c r="L613" t="n">
        <v>0</v>
      </c>
      <c r="M613" t="n">
        <v>0</v>
      </c>
      <c r="N613" t="n">
        <v>0</v>
      </c>
      <c r="O613" t="n">
        <v>3</v>
      </c>
      <c r="P613" t="n">
        <v>0</v>
      </c>
      <c r="Q613" t="n">
        <v>4</v>
      </c>
      <c r="R613" s="2" t="inlineStr">
        <is>
          <t>Garnlav
Granticka
Gränsticka
Vedticka</t>
        </is>
      </c>
      <c r="S613">
        <f>HYPERLINK("https://klasma.github.io/Logging_2403/artfynd/A 61748-2023 artfynd.xlsx", "A 61748-2023")</f>
        <v/>
      </c>
      <c r="T613">
        <f>HYPERLINK("https://klasma.github.io/Logging_2403/kartor/A 61748-2023 karta.png", "A 61748-2023")</f>
        <v/>
      </c>
      <c r="V613">
        <f>HYPERLINK("https://klasma.github.io/Logging_2403/klagomål/A 61748-2023 FSC-klagomål.docx", "A 61748-2023")</f>
        <v/>
      </c>
      <c r="W613">
        <f>HYPERLINK("https://klasma.github.io/Logging_2403/klagomålsmail/A 61748-2023 FSC-klagomål mail.docx", "A 61748-2023")</f>
        <v/>
      </c>
      <c r="X613">
        <f>HYPERLINK("https://klasma.github.io/Logging_2403/tillsyn/A 61748-2023 tillsynsbegäran.docx", "A 61748-2023")</f>
        <v/>
      </c>
      <c r="Y613">
        <f>HYPERLINK("https://klasma.github.io/Logging_2403/tillsynsmail/A 61748-2023 tillsynsbegäran mail.docx", "A 61748-2023")</f>
        <v/>
      </c>
    </row>
    <row r="614" ht="15" customHeight="1">
      <c r="A614" t="inlineStr">
        <is>
          <t>A 62393-2023</t>
        </is>
      </c>
      <c r="B614" s="1" t="n">
        <v>45268</v>
      </c>
      <c r="C614" s="1" t="n">
        <v>45718</v>
      </c>
      <c r="D614" t="inlineStr">
        <is>
          <t>VÄSTERBOTTENS LÄN</t>
        </is>
      </c>
      <c r="E614" t="inlineStr">
        <is>
          <t>SKELLEFTEÅ</t>
        </is>
      </c>
      <c r="F614" t="inlineStr">
        <is>
          <t>Sveaskog</t>
        </is>
      </c>
      <c r="G614" t="n">
        <v>6.7</v>
      </c>
      <c r="H614" t="n">
        <v>0</v>
      </c>
      <c r="I614" t="n">
        <v>1</v>
      </c>
      <c r="J614" t="n">
        <v>3</v>
      </c>
      <c r="K614" t="n">
        <v>0</v>
      </c>
      <c r="L614" t="n">
        <v>0</v>
      </c>
      <c r="M614" t="n">
        <v>0</v>
      </c>
      <c r="N614" t="n">
        <v>0</v>
      </c>
      <c r="O614" t="n">
        <v>3</v>
      </c>
      <c r="P614" t="n">
        <v>0</v>
      </c>
      <c r="Q614" t="n">
        <v>4</v>
      </c>
      <c r="R614" s="2" t="inlineStr">
        <is>
          <t>Garnlav
Lunglav
Violettgrå tagellav
Bårdlav</t>
        </is>
      </c>
      <c r="S614">
        <f>HYPERLINK("https://klasma.github.io/Logging_2482/artfynd/A 62393-2023 artfynd.xlsx", "A 62393-2023")</f>
        <v/>
      </c>
      <c r="T614">
        <f>HYPERLINK("https://klasma.github.io/Logging_2482/kartor/A 62393-2023 karta.png", "A 62393-2023")</f>
        <v/>
      </c>
      <c r="V614">
        <f>HYPERLINK("https://klasma.github.io/Logging_2482/klagomål/A 62393-2023 FSC-klagomål.docx", "A 62393-2023")</f>
        <v/>
      </c>
      <c r="W614">
        <f>HYPERLINK("https://klasma.github.io/Logging_2482/klagomålsmail/A 62393-2023 FSC-klagomål mail.docx", "A 62393-2023")</f>
        <v/>
      </c>
      <c r="X614">
        <f>HYPERLINK("https://klasma.github.io/Logging_2482/tillsyn/A 62393-2023 tillsynsbegäran.docx", "A 62393-2023")</f>
        <v/>
      </c>
      <c r="Y614">
        <f>HYPERLINK("https://klasma.github.io/Logging_2482/tillsynsmail/A 62393-2023 tillsynsbegäran mail.docx", "A 62393-2023")</f>
        <v/>
      </c>
    </row>
    <row r="615" ht="15" customHeight="1">
      <c r="A615" t="inlineStr">
        <is>
          <t>A 693-2024</t>
        </is>
      </c>
      <c r="B615" s="1" t="n">
        <v>45300</v>
      </c>
      <c r="C615" s="1" t="n">
        <v>45718</v>
      </c>
      <c r="D615" t="inlineStr">
        <is>
          <t>VÄSTERBOTTENS LÄN</t>
        </is>
      </c>
      <c r="E615" t="inlineStr">
        <is>
          <t>STORUMAN</t>
        </is>
      </c>
      <c r="G615" t="n">
        <v>17.7</v>
      </c>
      <c r="H615" t="n">
        <v>1</v>
      </c>
      <c r="I615" t="n">
        <v>1</v>
      </c>
      <c r="J615" t="n">
        <v>3</v>
      </c>
      <c r="K615" t="n">
        <v>0</v>
      </c>
      <c r="L615" t="n">
        <v>0</v>
      </c>
      <c r="M615" t="n">
        <v>0</v>
      </c>
      <c r="N615" t="n">
        <v>0</v>
      </c>
      <c r="O615" t="n">
        <v>3</v>
      </c>
      <c r="P615" t="n">
        <v>0</v>
      </c>
      <c r="Q615" t="n">
        <v>4</v>
      </c>
      <c r="R615" s="2" t="inlineStr">
        <is>
          <t>Harticka
Tretåig hackspett
Ullticka
Trådticka</t>
        </is>
      </c>
      <c r="S615">
        <f>HYPERLINK("https://klasma.github.io/Logging_2421/artfynd/A 693-2024 artfynd.xlsx", "A 693-2024")</f>
        <v/>
      </c>
      <c r="T615">
        <f>HYPERLINK("https://klasma.github.io/Logging_2421/kartor/A 693-2024 karta.png", "A 693-2024")</f>
        <v/>
      </c>
      <c r="V615">
        <f>HYPERLINK("https://klasma.github.io/Logging_2421/klagomål/A 693-2024 FSC-klagomål.docx", "A 693-2024")</f>
        <v/>
      </c>
      <c r="W615">
        <f>HYPERLINK("https://klasma.github.io/Logging_2421/klagomålsmail/A 693-2024 FSC-klagomål mail.docx", "A 693-2024")</f>
        <v/>
      </c>
      <c r="X615">
        <f>HYPERLINK("https://klasma.github.io/Logging_2421/tillsyn/A 693-2024 tillsynsbegäran.docx", "A 693-2024")</f>
        <v/>
      </c>
      <c r="Y615">
        <f>HYPERLINK("https://klasma.github.io/Logging_2421/tillsynsmail/A 693-2024 tillsynsbegäran mail.docx", "A 693-2024")</f>
        <v/>
      </c>
      <c r="Z615">
        <f>HYPERLINK("https://klasma.github.io/Logging_2421/fåglar/A 693-2024 prioriterade fågelarter.docx", "A 693-2024")</f>
        <v/>
      </c>
    </row>
    <row r="616" ht="15" customHeight="1">
      <c r="A616" t="inlineStr">
        <is>
          <t>A 2057-2024</t>
        </is>
      </c>
      <c r="B616" s="1" t="n">
        <v>45308</v>
      </c>
      <c r="C616" s="1" t="n">
        <v>45718</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2057-2024 artfynd.xlsx", "A 2057-2024")</f>
        <v/>
      </c>
      <c r="T616">
        <f>HYPERLINK("https://klasma.github.io/Logging_2482/kartor/A 2057-2024 karta.png", "A 2057-2024")</f>
        <v/>
      </c>
      <c r="V616">
        <f>HYPERLINK("https://klasma.github.io/Logging_2482/klagomål/A 2057-2024 FSC-klagomål.docx", "A 2057-2024")</f>
        <v/>
      </c>
      <c r="W616">
        <f>HYPERLINK("https://klasma.github.io/Logging_2482/klagomålsmail/A 2057-2024 FSC-klagomål mail.docx", "A 2057-2024")</f>
        <v/>
      </c>
      <c r="X616">
        <f>HYPERLINK("https://klasma.github.io/Logging_2482/tillsyn/A 2057-2024 tillsynsbegäran.docx", "A 2057-2024")</f>
        <v/>
      </c>
      <c r="Y616">
        <f>HYPERLINK("https://klasma.github.io/Logging_2482/tillsynsmail/A 2057-2024 tillsynsbegäran mail.docx", "A 2057-2024")</f>
        <v/>
      </c>
      <c r="Z616">
        <f>HYPERLINK("https://klasma.github.io/Logging_2482/fåglar/A 2057-2024 prioriterade fågelarter.docx", "A 2057-2024")</f>
        <v/>
      </c>
    </row>
    <row r="617" ht="15" customHeight="1">
      <c r="A617" t="inlineStr">
        <is>
          <t>A 4458-2024</t>
        </is>
      </c>
      <c r="B617" s="1" t="n">
        <v>45324</v>
      </c>
      <c r="C617" s="1" t="n">
        <v>45718</v>
      </c>
      <c r="D617" t="inlineStr">
        <is>
          <t>VÄSTERBOTTENS LÄN</t>
        </is>
      </c>
      <c r="E617" t="inlineStr">
        <is>
          <t>UMEÅ</t>
        </is>
      </c>
      <c r="G617" t="n">
        <v>16</v>
      </c>
      <c r="H617" t="n">
        <v>1</v>
      </c>
      <c r="I617" t="n">
        <v>1</v>
      </c>
      <c r="J617" t="n">
        <v>3</v>
      </c>
      <c r="K617" t="n">
        <v>0</v>
      </c>
      <c r="L617" t="n">
        <v>0</v>
      </c>
      <c r="M617" t="n">
        <v>0</v>
      </c>
      <c r="N617" t="n">
        <v>0</v>
      </c>
      <c r="O617" t="n">
        <v>3</v>
      </c>
      <c r="P617" t="n">
        <v>0</v>
      </c>
      <c r="Q617" t="n">
        <v>4</v>
      </c>
      <c r="R617" s="2" t="inlineStr">
        <is>
          <t>Garnlav
Granticka
Spillkråka
Vedticka</t>
        </is>
      </c>
      <c r="S617">
        <f>HYPERLINK("https://klasma.github.io/Logging_2480/artfynd/A 4458-2024 artfynd.xlsx", "A 4458-2024")</f>
        <v/>
      </c>
      <c r="T617">
        <f>HYPERLINK("https://klasma.github.io/Logging_2480/kartor/A 4458-2024 karta.png", "A 4458-2024")</f>
        <v/>
      </c>
      <c r="V617">
        <f>HYPERLINK("https://klasma.github.io/Logging_2480/klagomål/A 4458-2024 FSC-klagomål.docx", "A 4458-2024")</f>
        <v/>
      </c>
      <c r="W617">
        <f>HYPERLINK("https://klasma.github.io/Logging_2480/klagomålsmail/A 4458-2024 FSC-klagomål mail.docx", "A 4458-2024")</f>
        <v/>
      </c>
      <c r="X617">
        <f>HYPERLINK("https://klasma.github.io/Logging_2480/tillsyn/A 4458-2024 tillsynsbegäran.docx", "A 4458-2024")</f>
        <v/>
      </c>
      <c r="Y617">
        <f>HYPERLINK("https://klasma.github.io/Logging_2480/tillsynsmail/A 4458-2024 tillsynsbegäran mail.docx", "A 4458-2024")</f>
        <v/>
      </c>
      <c r="Z617">
        <f>HYPERLINK("https://klasma.github.io/Logging_2480/fåglar/A 4458-2024 prioriterade fågelarter.docx", "A 4458-2024")</f>
        <v/>
      </c>
    </row>
    <row r="618" ht="15" customHeight="1">
      <c r="A618" t="inlineStr">
        <is>
          <t>A 6225-2024</t>
        </is>
      </c>
      <c r="B618" s="1" t="n">
        <v>45337</v>
      </c>
      <c r="C618" s="1" t="n">
        <v>45718</v>
      </c>
      <c r="D618" t="inlineStr">
        <is>
          <t>VÄSTERBOTTENS LÄN</t>
        </is>
      </c>
      <c r="E618" t="inlineStr">
        <is>
          <t>ÅSELE</t>
        </is>
      </c>
      <c r="G618" t="n">
        <v>13.3</v>
      </c>
      <c r="H618" t="n">
        <v>2</v>
      </c>
      <c r="I618" t="n">
        <v>0</v>
      </c>
      <c r="J618" t="n">
        <v>4</v>
      </c>
      <c r="K618" t="n">
        <v>0</v>
      </c>
      <c r="L618" t="n">
        <v>0</v>
      </c>
      <c r="M618" t="n">
        <v>0</v>
      </c>
      <c r="N618" t="n">
        <v>0</v>
      </c>
      <c r="O618" t="n">
        <v>4</v>
      </c>
      <c r="P618" t="n">
        <v>0</v>
      </c>
      <c r="Q618" t="n">
        <v>4</v>
      </c>
      <c r="R618" s="2" t="inlineStr">
        <is>
          <t>Garnlav
Lunglav
Talltita
Tretåig hackspett</t>
        </is>
      </c>
      <c r="S618">
        <f>HYPERLINK("https://klasma.github.io/Logging_2463/artfynd/A 6225-2024 artfynd.xlsx", "A 6225-2024")</f>
        <v/>
      </c>
      <c r="T618">
        <f>HYPERLINK("https://klasma.github.io/Logging_2463/kartor/A 6225-2024 karta.png", "A 6225-2024")</f>
        <v/>
      </c>
      <c r="V618">
        <f>HYPERLINK("https://klasma.github.io/Logging_2463/klagomål/A 6225-2024 FSC-klagomål.docx", "A 6225-2024")</f>
        <v/>
      </c>
      <c r="W618">
        <f>HYPERLINK("https://klasma.github.io/Logging_2463/klagomålsmail/A 6225-2024 FSC-klagomål mail.docx", "A 6225-2024")</f>
        <v/>
      </c>
      <c r="X618">
        <f>HYPERLINK("https://klasma.github.io/Logging_2463/tillsyn/A 6225-2024 tillsynsbegäran.docx", "A 6225-2024")</f>
        <v/>
      </c>
      <c r="Y618">
        <f>HYPERLINK("https://klasma.github.io/Logging_2463/tillsynsmail/A 6225-2024 tillsynsbegäran mail.docx", "A 6225-2024")</f>
        <v/>
      </c>
      <c r="Z618">
        <f>HYPERLINK("https://klasma.github.io/Logging_2463/fåglar/A 6225-2024 prioriterade fågelarter.docx", "A 6225-2024")</f>
        <v/>
      </c>
    </row>
    <row r="619" ht="15" customHeight="1">
      <c r="A619" t="inlineStr">
        <is>
          <t>A 12647-2024</t>
        </is>
      </c>
      <c r="B619" s="1" t="n">
        <v>45379</v>
      </c>
      <c r="C619" s="1" t="n">
        <v>45718</v>
      </c>
      <c r="D619" t="inlineStr">
        <is>
          <t>VÄSTERBOTTENS LÄN</t>
        </is>
      </c>
      <c r="E619" t="inlineStr">
        <is>
          <t>ROBERTSFORS</t>
        </is>
      </c>
      <c r="G619" t="n">
        <v>2.1</v>
      </c>
      <c r="H619" t="n">
        <v>0</v>
      </c>
      <c r="I619" t="n">
        <v>0</v>
      </c>
      <c r="J619" t="n">
        <v>4</v>
      </c>
      <c r="K619" t="n">
        <v>0</v>
      </c>
      <c r="L619" t="n">
        <v>0</v>
      </c>
      <c r="M619" t="n">
        <v>0</v>
      </c>
      <c r="N619" t="n">
        <v>0</v>
      </c>
      <c r="O619" t="n">
        <v>4</v>
      </c>
      <c r="P619" t="n">
        <v>0</v>
      </c>
      <c r="Q619" t="n">
        <v>4</v>
      </c>
      <c r="R619" s="2" t="inlineStr">
        <is>
          <t>Garnlav
Granticka
Stjärntagging
Ullticka</t>
        </is>
      </c>
      <c r="S619">
        <f>HYPERLINK("https://klasma.github.io/Logging_2409/artfynd/A 12647-2024 artfynd.xlsx", "A 12647-2024")</f>
        <v/>
      </c>
      <c r="T619">
        <f>HYPERLINK("https://klasma.github.io/Logging_2409/kartor/A 12647-2024 karta.png", "A 12647-2024")</f>
        <v/>
      </c>
      <c r="V619">
        <f>HYPERLINK("https://klasma.github.io/Logging_2409/klagomål/A 12647-2024 FSC-klagomål.docx", "A 12647-2024")</f>
        <v/>
      </c>
      <c r="W619">
        <f>HYPERLINK("https://klasma.github.io/Logging_2409/klagomålsmail/A 12647-2024 FSC-klagomål mail.docx", "A 12647-2024")</f>
        <v/>
      </c>
      <c r="X619">
        <f>HYPERLINK("https://klasma.github.io/Logging_2409/tillsyn/A 12647-2024 tillsynsbegäran.docx", "A 12647-2024")</f>
        <v/>
      </c>
      <c r="Y619">
        <f>HYPERLINK("https://klasma.github.io/Logging_2409/tillsynsmail/A 12647-2024 tillsynsbegäran mail.docx", "A 12647-2024")</f>
        <v/>
      </c>
    </row>
    <row r="620" ht="15" customHeight="1">
      <c r="A620" t="inlineStr">
        <is>
          <t>A 13034-2024</t>
        </is>
      </c>
      <c r="B620" s="1" t="n">
        <v>45385</v>
      </c>
      <c r="C620" s="1" t="n">
        <v>45718</v>
      </c>
      <c r="D620" t="inlineStr">
        <is>
          <t>VÄSTERBOTTENS LÄN</t>
        </is>
      </c>
      <c r="E620" t="inlineStr">
        <is>
          <t>VINDELN</t>
        </is>
      </c>
      <c r="G620" t="n">
        <v>11.7</v>
      </c>
      <c r="H620" t="n">
        <v>1</v>
      </c>
      <c r="I620" t="n">
        <v>1</v>
      </c>
      <c r="J620" t="n">
        <v>3</v>
      </c>
      <c r="K620" t="n">
        <v>0</v>
      </c>
      <c r="L620" t="n">
        <v>0</v>
      </c>
      <c r="M620" t="n">
        <v>0</v>
      </c>
      <c r="N620" t="n">
        <v>0</v>
      </c>
      <c r="O620" t="n">
        <v>3</v>
      </c>
      <c r="P620" t="n">
        <v>0</v>
      </c>
      <c r="Q620" t="n">
        <v>4</v>
      </c>
      <c r="R620" s="2" t="inlineStr">
        <is>
          <t>Granticka
Spillkråka
Ullticka
Stor aspticka</t>
        </is>
      </c>
      <c r="S620">
        <f>HYPERLINK("https://klasma.github.io/Logging_2404/artfynd/A 13034-2024 artfynd.xlsx", "A 13034-2024")</f>
        <v/>
      </c>
      <c r="T620">
        <f>HYPERLINK("https://klasma.github.io/Logging_2404/kartor/A 13034-2024 karta.png", "A 13034-2024")</f>
        <v/>
      </c>
      <c r="V620">
        <f>HYPERLINK("https://klasma.github.io/Logging_2404/klagomål/A 13034-2024 FSC-klagomål.docx", "A 13034-2024")</f>
        <v/>
      </c>
      <c r="W620">
        <f>HYPERLINK("https://klasma.github.io/Logging_2404/klagomålsmail/A 13034-2024 FSC-klagomål mail.docx", "A 13034-2024")</f>
        <v/>
      </c>
      <c r="X620">
        <f>HYPERLINK("https://klasma.github.io/Logging_2404/tillsyn/A 13034-2024 tillsynsbegäran.docx", "A 13034-2024")</f>
        <v/>
      </c>
      <c r="Y620">
        <f>HYPERLINK("https://klasma.github.io/Logging_2404/tillsynsmail/A 13034-2024 tillsynsbegäran mail.docx", "A 13034-2024")</f>
        <v/>
      </c>
      <c r="Z620">
        <f>HYPERLINK("https://klasma.github.io/Logging_2404/fåglar/A 13034-2024 prioriterade fågelarter.docx", "A 13034-2024")</f>
        <v/>
      </c>
    </row>
    <row r="621" ht="15" customHeight="1">
      <c r="A621" t="inlineStr">
        <is>
          <t>A 18577-2024</t>
        </is>
      </c>
      <c r="B621" s="1" t="n">
        <v>45425</v>
      </c>
      <c r="C621" s="1" t="n">
        <v>45718</v>
      </c>
      <c r="D621" t="inlineStr">
        <is>
          <t>VÄSTERBOTTENS LÄN</t>
        </is>
      </c>
      <c r="E621" t="inlineStr">
        <is>
          <t>SKELLEFTEÅ</t>
        </is>
      </c>
      <c r="G621" t="n">
        <v>5.3</v>
      </c>
      <c r="H621" t="n">
        <v>1</v>
      </c>
      <c r="I621" t="n">
        <v>1</v>
      </c>
      <c r="J621" t="n">
        <v>2</v>
      </c>
      <c r="K621" t="n">
        <v>1</v>
      </c>
      <c r="L621" t="n">
        <v>0</v>
      </c>
      <c r="M621" t="n">
        <v>0</v>
      </c>
      <c r="N621" t="n">
        <v>0</v>
      </c>
      <c r="O621" t="n">
        <v>3</v>
      </c>
      <c r="P621" t="n">
        <v>1</v>
      </c>
      <c r="Q621" t="n">
        <v>4</v>
      </c>
      <c r="R621" s="2" t="inlineStr">
        <is>
          <t>Knärot
Gammelgransskål
Garnlav
Rävticka</t>
        </is>
      </c>
      <c r="S621">
        <f>HYPERLINK("https://klasma.github.io/Logging_2482/artfynd/A 18577-2024 artfynd.xlsx", "A 18577-2024")</f>
        <v/>
      </c>
      <c r="T621">
        <f>HYPERLINK("https://klasma.github.io/Logging_2482/kartor/A 18577-2024 karta.png", "A 18577-2024")</f>
        <v/>
      </c>
      <c r="U621">
        <f>HYPERLINK("https://klasma.github.io/Logging_2482/knärot/A 18577-2024 karta knärot.png", "A 18577-2024")</f>
        <v/>
      </c>
      <c r="V621">
        <f>HYPERLINK("https://klasma.github.io/Logging_2482/klagomål/A 18577-2024 FSC-klagomål.docx", "A 18577-2024")</f>
        <v/>
      </c>
      <c r="W621">
        <f>HYPERLINK("https://klasma.github.io/Logging_2482/klagomålsmail/A 18577-2024 FSC-klagomål mail.docx", "A 18577-2024")</f>
        <v/>
      </c>
      <c r="X621">
        <f>HYPERLINK("https://klasma.github.io/Logging_2482/tillsyn/A 18577-2024 tillsynsbegäran.docx", "A 18577-2024")</f>
        <v/>
      </c>
      <c r="Y621">
        <f>HYPERLINK("https://klasma.github.io/Logging_2482/tillsynsmail/A 18577-2024 tillsynsbegäran mail.docx", "A 18577-2024")</f>
        <v/>
      </c>
    </row>
    <row r="622" ht="15" customHeight="1">
      <c r="A622" t="inlineStr">
        <is>
          <t>A 23555-2024</t>
        </is>
      </c>
      <c r="B622" s="1" t="n">
        <v>45453</v>
      </c>
      <c r="C622" s="1" t="n">
        <v>45718</v>
      </c>
      <c r="D622" t="inlineStr">
        <is>
          <t>VÄSTERBOTTENS LÄN</t>
        </is>
      </c>
      <c r="E622" t="inlineStr">
        <is>
          <t>DOROTEA</t>
        </is>
      </c>
      <c r="F622" t="inlineStr">
        <is>
          <t>SCA</t>
        </is>
      </c>
      <c r="G622" t="n">
        <v>16.3</v>
      </c>
      <c r="H622" t="n">
        <v>3</v>
      </c>
      <c r="I622" t="n">
        <v>1</v>
      </c>
      <c r="J622" t="n">
        <v>1</v>
      </c>
      <c r="K622" t="n">
        <v>0</v>
      </c>
      <c r="L622" t="n">
        <v>0</v>
      </c>
      <c r="M622" t="n">
        <v>0</v>
      </c>
      <c r="N622" t="n">
        <v>0</v>
      </c>
      <c r="O622" t="n">
        <v>1</v>
      </c>
      <c r="P622" t="n">
        <v>0</v>
      </c>
      <c r="Q622" t="n">
        <v>4</v>
      </c>
      <c r="R622" s="2" t="inlineStr">
        <is>
          <t>Garnlav
Spindelblomster
Vanlig groda
Fläcknycklar</t>
        </is>
      </c>
      <c r="S622">
        <f>HYPERLINK("https://klasma.github.io/Logging_2425/artfynd/A 23555-2024 artfynd.xlsx", "A 23555-2024")</f>
        <v/>
      </c>
      <c r="T622">
        <f>HYPERLINK("https://klasma.github.io/Logging_2425/kartor/A 23555-2024 karta.png", "A 23555-2024")</f>
        <v/>
      </c>
      <c r="V622">
        <f>HYPERLINK("https://klasma.github.io/Logging_2425/klagomål/A 23555-2024 FSC-klagomål.docx", "A 23555-2024")</f>
        <v/>
      </c>
      <c r="W622">
        <f>HYPERLINK("https://klasma.github.io/Logging_2425/klagomålsmail/A 23555-2024 FSC-klagomål mail.docx", "A 23555-2024")</f>
        <v/>
      </c>
      <c r="X622">
        <f>HYPERLINK("https://klasma.github.io/Logging_2425/tillsyn/A 23555-2024 tillsynsbegäran.docx", "A 23555-2024")</f>
        <v/>
      </c>
      <c r="Y622">
        <f>HYPERLINK("https://klasma.github.io/Logging_2425/tillsynsmail/A 23555-2024 tillsynsbegäran mail.docx", "A 23555-2024")</f>
        <v/>
      </c>
    </row>
    <row r="623" ht="15" customHeight="1">
      <c r="A623" t="inlineStr">
        <is>
          <t>A 23970-2024</t>
        </is>
      </c>
      <c r="B623" s="1" t="n">
        <v>45455</v>
      </c>
      <c r="C623" s="1" t="n">
        <v>45718</v>
      </c>
      <c r="D623" t="inlineStr">
        <is>
          <t>VÄSTERBOTTENS LÄN</t>
        </is>
      </c>
      <c r="E623" t="inlineStr">
        <is>
          <t>LYCKSELE</t>
        </is>
      </c>
      <c r="F623" t="inlineStr">
        <is>
          <t>SCA</t>
        </is>
      </c>
      <c r="G623" t="n">
        <v>23.5</v>
      </c>
      <c r="H623" t="n">
        <v>0</v>
      </c>
      <c r="I623" t="n">
        <v>2</v>
      </c>
      <c r="J623" t="n">
        <v>2</v>
      </c>
      <c r="K623" t="n">
        <v>0</v>
      </c>
      <c r="L623" t="n">
        <v>0</v>
      </c>
      <c r="M623" t="n">
        <v>0</v>
      </c>
      <c r="N623" t="n">
        <v>0</v>
      </c>
      <c r="O623" t="n">
        <v>2</v>
      </c>
      <c r="P623" t="n">
        <v>0</v>
      </c>
      <c r="Q623" t="n">
        <v>4</v>
      </c>
      <c r="R623" s="2" t="inlineStr">
        <is>
          <t>Lunglav
Orange taggsvamp
Dropptaggsvamp
Stuplav</t>
        </is>
      </c>
      <c r="S623">
        <f>HYPERLINK("https://klasma.github.io/Logging_2481/artfynd/A 23970-2024 artfynd.xlsx", "A 23970-2024")</f>
        <v/>
      </c>
      <c r="T623">
        <f>HYPERLINK("https://klasma.github.io/Logging_2481/kartor/A 23970-2024 karta.png", "A 23970-2024")</f>
        <v/>
      </c>
      <c r="V623">
        <f>HYPERLINK("https://klasma.github.io/Logging_2481/klagomål/A 23970-2024 FSC-klagomål.docx", "A 23970-2024")</f>
        <v/>
      </c>
      <c r="W623">
        <f>HYPERLINK("https://klasma.github.io/Logging_2481/klagomålsmail/A 23970-2024 FSC-klagomål mail.docx", "A 23970-2024")</f>
        <v/>
      </c>
      <c r="X623">
        <f>HYPERLINK("https://klasma.github.io/Logging_2481/tillsyn/A 23970-2024 tillsynsbegäran.docx", "A 23970-2024")</f>
        <v/>
      </c>
      <c r="Y623">
        <f>HYPERLINK("https://klasma.github.io/Logging_2481/tillsynsmail/A 23970-2024 tillsynsbegäran mail.docx", "A 23970-2024")</f>
        <v/>
      </c>
    </row>
    <row r="624" ht="15" customHeight="1">
      <c r="A624" t="inlineStr">
        <is>
          <t>A 25036-2024</t>
        </is>
      </c>
      <c r="B624" s="1" t="n">
        <v>45461</v>
      </c>
      <c r="C624" s="1" t="n">
        <v>45718</v>
      </c>
      <c r="D624" t="inlineStr">
        <is>
          <t>VÄSTERBOTTENS LÄN</t>
        </is>
      </c>
      <c r="E624" t="inlineStr">
        <is>
          <t>VILHELMINA</t>
        </is>
      </c>
      <c r="F624" t="inlineStr">
        <is>
          <t>SCA</t>
        </is>
      </c>
      <c r="G624" t="n">
        <v>7</v>
      </c>
      <c r="H624" t="n">
        <v>3</v>
      </c>
      <c r="I624" t="n">
        <v>1</v>
      </c>
      <c r="J624" t="n">
        <v>1</v>
      </c>
      <c r="K624" t="n">
        <v>0</v>
      </c>
      <c r="L624" t="n">
        <v>0</v>
      </c>
      <c r="M624" t="n">
        <v>0</v>
      </c>
      <c r="N624" t="n">
        <v>0</v>
      </c>
      <c r="O624" t="n">
        <v>1</v>
      </c>
      <c r="P624" t="n">
        <v>0</v>
      </c>
      <c r="Q624" t="n">
        <v>4</v>
      </c>
      <c r="R624" s="2" t="inlineStr">
        <is>
          <t>Garnlav
Plattlummer
Tjäder
Revlummer</t>
        </is>
      </c>
      <c r="S624">
        <f>HYPERLINK("https://klasma.github.io/Logging_2462/artfynd/A 25036-2024 artfynd.xlsx", "A 25036-2024")</f>
        <v/>
      </c>
      <c r="T624">
        <f>HYPERLINK("https://klasma.github.io/Logging_2462/kartor/A 25036-2024 karta.png", "A 25036-2024")</f>
        <v/>
      </c>
      <c r="V624">
        <f>HYPERLINK("https://klasma.github.io/Logging_2462/klagomål/A 25036-2024 FSC-klagomål.docx", "A 25036-2024")</f>
        <v/>
      </c>
      <c r="W624">
        <f>HYPERLINK("https://klasma.github.io/Logging_2462/klagomålsmail/A 25036-2024 FSC-klagomål mail.docx", "A 25036-2024")</f>
        <v/>
      </c>
      <c r="X624">
        <f>HYPERLINK("https://klasma.github.io/Logging_2462/tillsyn/A 25036-2024 tillsynsbegäran.docx", "A 25036-2024")</f>
        <v/>
      </c>
      <c r="Y624">
        <f>HYPERLINK("https://klasma.github.io/Logging_2462/tillsynsmail/A 25036-2024 tillsynsbegäran mail.docx", "A 25036-2024")</f>
        <v/>
      </c>
      <c r="Z624">
        <f>HYPERLINK("https://klasma.github.io/Logging_2462/fåglar/A 25036-2024 prioriterade fågelarter.docx", "A 25036-2024")</f>
        <v/>
      </c>
    </row>
    <row r="625" ht="15" customHeight="1">
      <c r="A625" t="inlineStr">
        <is>
          <t>A 25995-2024</t>
        </is>
      </c>
      <c r="B625" s="1" t="n">
        <v>45467</v>
      </c>
      <c r="C625" s="1" t="n">
        <v>45718</v>
      </c>
      <c r="D625" t="inlineStr">
        <is>
          <t>VÄSTERBOTTENS LÄN</t>
        </is>
      </c>
      <c r="E625" t="inlineStr">
        <is>
          <t>BJURHOLM</t>
        </is>
      </c>
      <c r="F625" t="inlineStr">
        <is>
          <t>Holmen skog AB</t>
        </is>
      </c>
      <c r="G625" t="n">
        <v>15.9</v>
      </c>
      <c r="H625" t="n">
        <v>0</v>
      </c>
      <c r="I625" t="n">
        <v>0</v>
      </c>
      <c r="J625" t="n">
        <v>4</v>
      </c>
      <c r="K625" t="n">
        <v>0</v>
      </c>
      <c r="L625" t="n">
        <v>0</v>
      </c>
      <c r="M625" t="n">
        <v>0</v>
      </c>
      <c r="N625" t="n">
        <v>0</v>
      </c>
      <c r="O625" t="n">
        <v>4</v>
      </c>
      <c r="P625" t="n">
        <v>0</v>
      </c>
      <c r="Q625" t="n">
        <v>4</v>
      </c>
      <c r="R625" s="2" t="inlineStr">
        <is>
          <t>Garnlav
Kolflarnlav
Mörk kolflarnlav
Ullticka</t>
        </is>
      </c>
      <c r="S625">
        <f>HYPERLINK("https://klasma.github.io/Logging_2403/artfynd/A 25995-2024 artfynd.xlsx", "A 25995-2024")</f>
        <v/>
      </c>
      <c r="T625">
        <f>HYPERLINK("https://klasma.github.io/Logging_2403/kartor/A 25995-2024 karta.png", "A 25995-2024")</f>
        <v/>
      </c>
      <c r="V625">
        <f>HYPERLINK("https://klasma.github.io/Logging_2403/klagomål/A 25995-2024 FSC-klagomål.docx", "A 25995-2024")</f>
        <v/>
      </c>
      <c r="W625">
        <f>HYPERLINK("https://klasma.github.io/Logging_2403/klagomålsmail/A 25995-2024 FSC-klagomål mail.docx", "A 25995-2024")</f>
        <v/>
      </c>
      <c r="X625">
        <f>HYPERLINK("https://klasma.github.io/Logging_2403/tillsyn/A 25995-2024 tillsynsbegäran.docx", "A 25995-2024")</f>
        <v/>
      </c>
      <c r="Y625">
        <f>HYPERLINK("https://klasma.github.io/Logging_2403/tillsynsmail/A 25995-2024 tillsynsbegäran mail.docx", "A 25995-2024")</f>
        <v/>
      </c>
    </row>
    <row r="626" ht="15" customHeight="1">
      <c r="A626" t="inlineStr">
        <is>
          <t>A 26961-2024</t>
        </is>
      </c>
      <c r="B626" s="1" t="n">
        <v>45471</v>
      </c>
      <c r="C626" s="1" t="n">
        <v>45718</v>
      </c>
      <c r="D626" t="inlineStr">
        <is>
          <t>VÄSTERBOTTENS LÄN</t>
        </is>
      </c>
      <c r="E626" t="inlineStr">
        <is>
          <t>LYCKSELE</t>
        </is>
      </c>
      <c r="F626" t="inlineStr">
        <is>
          <t>SCA</t>
        </is>
      </c>
      <c r="G626" t="n">
        <v>9.1</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26961-2024 artfynd.xlsx", "A 26961-2024")</f>
        <v/>
      </c>
      <c r="T626">
        <f>HYPERLINK("https://klasma.github.io/Logging_2481/kartor/A 26961-2024 karta.png", "A 26961-2024")</f>
        <v/>
      </c>
      <c r="V626">
        <f>HYPERLINK("https://klasma.github.io/Logging_2481/klagomål/A 26961-2024 FSC-klagomål.docx", "A 26961-2024")</f>
        <v/>
      </c>
      <c r="W626">
        <f>HYPERLINK("https://klasma.github.io/Logging_2481/klagomålsmail/A 26961-2024 FSC-klagomål mail.docx", "A 26961-2024")</f>
        <v/>
      </c>
      <c r="X626">
        <f>HYPERLINK("https://klasma.github.io/Logging_2481/tillsyn/A 26961-2024 tillsynsbegäran.docx", "A 26961-2024")</f>
        <v/>
      </c>
      <c r="Y626">
        <f>HYPERLINK("https://klasma.github.io/Logging_2481/tillsynsmail/A 26961-2024 tillsynsbegäran mail.docx", "A 26961-2024")</f>
        <v/>
      </c>
    </row>
    <row r="627" ht="15" customHeight="1">
      <c r="A627" t="inlineStr">
        <is>
          <t>A 27558-2024</t>
        </is>
      </c>
      <c r="B627" s="1" t="n">
        <v>45474</v>
      </c>
      <c r="C627" s="1" t="n">
        <v>45718</v>
      </c>
      <c r="D627" t="inlineStr">
        <is>
          <t>VÄSTERBOTTENS LÄN</t>
        </is>
      </c>
      <c r="E627" t="inlineStr">
        <is>
          <t>STORUMAN</t>
        </is>
      </c>
      <c r="F627" t="inlineStr">
        <is>
          <t>Sveaskog</t>
        </is>
      </c>
      <c r="G627" t="n">
        <v>5.7</v>
      </c>
      <c r="H627" t="n">
        <v>2</v>
      </c>
      <c r="I627" t="n">
        <v>0</v>
      </c>
      <c r="J627" t="n">
        <v>3</v>
      </c>
      <c r="K627" t="n">
        <v>0</v>
      </c>
      <c r="L627" t="n">
        <v>0</v>
      </c>
      <c r="M627" t="n">
        <v>0</v>
      </c>
      <c r="N627" t="n">
        <v>0</v>
      </c>
      <c r="O627" t="n">
        <v>3</v>
      </c>
      <c r="P627" t="n">
        <v>0</v>
      </c>
      <c r="Q627" t="n">
        <v>4</v>
      </c>
      <c r="R627" s="2" t="inlineStr">
        <is>
          <t>Garnlav
Järpe
Kolflarnlav
Fläcknycklar</t>
        </is>
      </c>
      <c r="S627">
        <f>HYPERLINK("https://klasma.github.io/Logging_2421/artfynd/A 27558-2024 artfynd.xlsx", "A 27558-2024")</f>
        <v/>
      </c>
      <c r="T627">
        <f>HYPERLINK("https://klasma.github.io/Logging_2421/kartor/A 27558-2024 karta.png", "A 27558-2024")</f>
        <v/>
      </c>
      <c r="V627">
        <f>HYPERLINK("https://klasma.github.io/Logging_2421/klagomål/A 27558-2024 FSC-klagomål.docx", "A 27558-2024")</f>
        <v/>
      </c>
      <c r="W627">
        <f>HYPERLINK("https://klasma.github.io/Logging_2421/klagomålsmail/A 27558-2024 FSC-klagomål mail.docx", "A 27558-2024")</f>
        <v/>
      </c>
      <c r="X627">
        <f>HYPERLINK("https://klasma.github.io/Logging_2421/tillsyn/A 27558-2024 tillsynsbegäran.docx", "A 27558-2024")</f>
        <v/>
      </c>
      <c r="Y627">
        <f>HYPERLINK("https://klasma.github.io/Logging_2421/tillsynsmail/A 27558-2024 tillsynsbegäran mail.docx", "A 27558-2024")</f>
        <v/>
      </c>
      <c r="Z627">
        <f>HYPERLINK("https://klasma.github.io/Logging_2421/fåglar/A 27558-2024 prioriterade fågelarter.docx", "A 27558-2024")</f>
        <v/>
      </c>
    </row>
    <row r="628" ht="15" customHeight="1">
      <c r="A628" t="inlineStr">
        <is>
          <t>A 28867-2024</t>
        </is>
      </c>
      <c r="B628" s="1" t="n">
        <v>45479</v>
      </c>
      <c r="C628" s="1" t="n">
        <v>45718</v>
      </c>
      <c r="D628" t="inlineStr">
        <is>
          <t>VÄSTERBOTTENS LÄN</t>
        </is>
      </c>
      <c r="E628" t="inlineStr">
        <is>
          <t>VILHELMINA</t>
        </is>
      </c>
      <c r="F628" t="inlineStr">
        <is>
          <t>SCA</t>
        </is>
      </c>
      <c r="G628" t="n">
        <v>1</v>
      </c>
      <c r="H628" t="n">
        <v>1</v>
      </c>
      <c r="I628" t="n">
        <v>0</v>
      </c>
      <c r="J628" t="n">
        <v>4</v>
      </c>
      <c r="K628" t="n">
        <v>0</v>
      </c>
      <c r="L628" t="n">
        <v>0</v>
      </c>
      <c r="M628" t="n">
        <v>0</v>
      </c>
      <c r="N628" t="n">
        <v>0</v>
      </c>
      <c r="O628" t="n">
        <v>4</v>
      </c>
      <c r="P628" t="n">
        <v>0</v>
      </c>
      <c r="Q628" t="n">
        <v>4</v>
      </c>
      <c r="R628" s="2" t="inlineStr">
        <is>
          <t>Garnlav
Granticka
Liten svartspik
Tretåig hackspett</t>
        </is>
      </c>
      <c r="S628">
        <f>HYPERLINK("https://klasma.github.io/Logging_2462/artfynd/A 28867-2024 artfynd.xlsx", "A 28867-2024")</f>
        <v/>
      </c>
      <c r="T628">
        <f>HYPERLINK("https://klasma.github.io/Logging_2462/kartor/A 28867-2024 karta.png", "A 28867-2024")</f>
        <v/>
      </c>
      <c r="V628">
        <f>HYPERLINK("https://klasma.github.io/Logging_2462/klagomål/A 28867-2024 FSC-klagomål.docx", "A 28867-2024")</f>
        <v/>
      </c>
      <c r="W628">
        <f>HYPERLINK("https://klasma.github.io/Logging_2462/klagomålsmail/A 28867-2024 FSC-klagomål mail.docx", "A 28867-2024")</f>
        <v/>
      </c>
      <c r="X628">
        <f>HYPERLINK("https://klasma.github.io/Logging_2462/tillsyn/A 28867-2024 tillsynsbegäran.docx", "A 28867-2024")</f>
        <v/>
      </c>
      <c r="Y628">
        <f>HYPERLINK("https://klasma.github.io/Logging_2462/tillsynsmail/A 28867-2024 tillsynsbegäran mail.docx", "A 28867-2024")</f>
        <v/>
      </c>
      <c r="Z628">
        <f>HYPERLINK("https://klasma.github.io/Logging_2462/fåglar/A 28867-2024 prioriterade fågelarter.docx", "A 28867-2024")</f>
        <v/>
      </c>
    </row>
    <row r="629" ht="15" customHeight="1">
      <c r="A629" t="inlineStr">
        <is>
          <t>A 31451-2024</t>
        </is>
      </c>
      <c r="B629" s="1" t="n">
        <v>45506</v>
      </c>
      <c r="C629" s="1" t="n">
        <v>45718</v>
      </c>
      <c r="D629" t="inlineStr">
        <is>
          <t>VÄSTERBOTTENS LÄN</t>
        </is>
      </c>
      <c r="E629" t="inlineStr">
        <is>
          <t>STORUMAN</t>
        </is>
      </c>
      <c r="G629" t="n">
        <v>16</v>
      </c>
      <c r="H629" t="n">
        <v>1</v>
      </c>
      <c r="I629" t="n">
        <v>1</v>
      </c>
      <c r="J629" t="n">
        <v>3</v>
      </c>
      <c r="K629" t="n">
        <v>0</v>
      </c>
      <c r="L629" t="n">
        <v>0</v>
      </c>
      <c r="M629" t="n">
        <v>0</v>
      </c>
      <c r="N629" t="n">
        <v>0</v>
      </c>
      <c r="O629" t="n">
        <v>3</v>
      </c>
      <c r="P629" t="n">
        <v>0</v>
      </c>
      <c r="Q629" t="n">
        <v>4</v>
      </c>
      <c r="R629" s="2" t="inlineStr">
        <is>
          <t>Granticka
Tretåig hackspett
Ullticka
Blodticka</t>
        </is>
      </c>
      <c r="S629">
        <f>HYPERLINK("https://klasma.github.io/Logging_2421/artfynd/A 31451-2024 artfynd.xlsx", "A 31451-2024")</f>
        <v/>
      </c>
      <c r="T629">
        <f>HYPERLINK("https://klasma.github.io/Logging_2421/kartor/A 31451-2024 karta.png", "A 31451-2024")</f>
        <v/>
      </c>
      <c r="V629">
        <f>HYPERLINK("https://klasma.github.io/Logging_2421/klagomål/A 31451-2024 FSC-klagomål.docx", "A 31451-2024")</f>
        <v/>
      </c>
      <c r="W629">
        <f>HYPERLINK("https://klasma.github.io/Logging_2421/klagomålsmail/A 31451-2024 FSC-klagomål mail.docx", "A 31451-2024")</f>
        <v/>
      </c>
      <c r="X629">
        <f>HYPERLINK("https://klasma.github.io/Logging_2421/tillsyn/A 31451-2024 tillsynsbegäran.docx", "A 31451-2024")</f>
        <v/>
      </c>
      <c r="Y629">
        <f>HYPERLINK("https://klasma.github.io/Logging_2421/tillsynsmail/A 31451-2024 tillsynsbegäran mail.docx", "A 31451-2024")</f>
        <v/>
      </c>
      <c r="Z629">
        <f>HYPERLINK("https://klasma.github.io/Logging_2421/fåglar/A 31451-2024 prioriterade fågelarter.docx", "A 31451-2024")</f>
        <v/>
      </c>
    </row>
    <row r="630" ht="15" customHeight="1">
      <c r="A630" t="inlineStr">
        <is>
          <t>A 31811-2024</t>
        </is>
      </c>
      <c r="B630" s="1" t="n">
        <v>45509</v>
      </c>
      <c r="C630" s="1" t="n">
        <v>45718</v>
      </c>
      <c r="D630" t="inlineStr">
        <is>
          <t>VÄSTERBOTTENS LÄN</t>
        </is>
      </c>
      <c r="E630" t="inlineStr">
        <is>
          <t>LYCKSELE</t>
        </is>
      </c>
      <c r="F630" t="inlineStr">
        <is>
          <t>Sveaskog</t>
        </is>
      </c>
      <c r="G630" t="n">
        <v>18.2</v>
      </c>
      <c r="H630" t="n">
        <v>2</v>
      </c>
      <c r="I630" t="n">
        <v>2</v>
      </c>
      <c r="J630" t="n">
        <v>1</v>
      </c>
      <c r="K630" t="n">
        <v>0</v>
      </c>
      <c r="L630" t="n">
        <v>0</v>
      </c>
      <c r="M630" t="n">
        <v>0</v>
      </c>
      <c r="N630" t="n">
        <v>0</v>
      </c>
      <c r="O630" t="n">
        <v>1</v>
      </c>
      <c r="P630" t="n">
        <v>0</v>
      </c>
      <c r="Q630" t="n">
        <v>4</v>
      </c>
      <c r="R630" s="2" t="inlineStr">
        <is>
          <t>Vedskivlav
Dropptaggsvamp
Plattlummer
Vanlig groda</t>
        </is>
      </c>
      <c r="S630">
        <f>HYPERLINK("https://klasma.github.io/Logging_2481/artfynd/A 31811-2024 artfynd.xlsx", "A 31811-2024")</f>
        <v/>
      </c>
      <c r="T630">
        <f>HYPERLINK("https://klasma.github.io/Logging_2481/kartor/A 31811-2024 karta.png", "A 31811-2024")</f>
        <v/>
      </c>
      <c r="U630">
        <f>HYPERLINK("https://klasma.github.io/Logging_2481/knärot/A 31811-2024 karta knärot.png", "A 31811-2024")</f>
        <v/>
      </c>
      <c r="V630">
        <f>HYPERLINK("https://klasma.github.io/Logging_2481/klagomål/A 31811-2024 FSC-klagomål.docx", "A 31811-2024")</f>
        <v/>
      </c>
      <c r="W630">
        <f>HYPERLINK("https://klasma.github.io/Logging_2481/klagomålsmail/A 31811-2024 FSC-klagomål mail.docx", "A 31811-2024")</f>
        <v/>
      </c>
      <c r="X630">
        <f>HYPERLINK("https://klasma.github.io/Logging_2481/tillsyn/A 31811-2024 tillsynsbegäran.docx", "A 31811-2024")</f>
        <v/>
      </c>
      <c r="Y630">
        <f>HYPERLINK("https://klasma.github.io/Logging_2481/tillsynsmail/A 31811-2024 tillsynsbegäran mail.docx", "A 31811-2024")</f>
        <v/>
      </c>
    </row>
    <row r="631" ht="15" customHeight="1">
      <c r="A631" t="inlineStr">
        <is>
          <t>A 31984-2024</t>
        </is>
      </c>
      <c r="B631" s="1" t="n">
        <v>45510</v>
      </c>
      <c r="C631" s="1" t="n">
        <v>45718</v>
      </c>
      <c r="D631" t="inlineStr">
        <is>
          <t>VÄSTERBOTTENS LÄN</t>
        </is>
      </c>
      <c r="E631" t="inlineStr">
        <is>
          <t>ROBERTSFORS</t>
        </is>
      </c>
      <c r="F631" t="inlineStr">
        <is>
          <t>Holmen skog AB</t>
        </is>
      </c>
      <c r="G631" t="n">
        <v>12.8</v>
      </c>
      <c r="H631" t="n">
        <v>0</v>
      </c>
      <c r="I631" t="n">
        <v>1</v>
      </c>
      <c r="J631" t="n">
        <v>3</v>
      </c>
      <c r="K631" t="n">
        <v>0</v>
      </c>
      <c r="L631" t="n">
        <v>0</v>
      </c>
      <c r="M631" t="n">
        <v>0</v>
      </c>
      <c r="N631" t="n">
        <v>0</v>
      </c>
      <c r="O631" t="n">
        <v>3</v>
      </c>
      <c r="P631" t="n">
        <v>0</v>
      </c>
      <c r="Q631" t="n">
        <v>4</v>
      </c>
      <c r="R631" s="2" t="inlineStr">
        <is>
          <t>Motaggsvamp
Orange taggsvamp
Svart taggsvamp
Dropptaggsvamp</t>
        </is>
      </c>
      <c r="S631">
        <f>HYPERLINK("https://klasma.github.io/Logging_2409/artfynd/A 31984-2024 artfynd.xlsx", "A 31984-2024")</f>
        <v/>
      </c>
      <c r="T631">
        <f>HYPERLINK("https://klasma.github.io/Logging_2409/kartor/A 31984-2024 karta.png", "A 31984-2024")</f>
        <v/>
      </c>
      <c r="V631">
        <f>HYPERLINK("https://klasma.github.io/Logging_2409/klagomål/A 31984-2024 FSC-klagomål.docx", "A 31984-2024")</f>
        <v/>
      </c>
      <c r="W631">
        <f>HYPERLINK("https://klasma.github.io/Logging_2409/klagomålsmail/A 31984-2024 FSC-klagomål mail.docx", "A 31984-2024")</f>
        <v/>
      </c>
      <c r="X631">
        <f>HYPERLINK("https://klasma.github.io/Logging_2409/tillsyn/A 31984-2024 tillsynsbegäran.docx", "A 31984-2024")</f>
        <v/>
      </c>
      <c r="Y631">
        <f>HYPERLINK("https://klasma.github.io/Logging_2409/tillsynsmail/A 31984-2024 tillsynsbegäran mail.docx", "A 31984-2024")</f>
        <v/>
      </c>
    </row>
    <row r="632" ht="15" customHeight="1">
      <c r="A632" t="inlineStr">
        <is>
          <t>A 32387-2024</t>
        </is>
      </c>
      <c r="B632" s="1" t="n">
        <v>45512</v>
      </c>
      <c r="C632" s="1" t="n">
        <v>45718</v>
      </c>
      <c r="D632" t="inlineStr">
        <is>
          <t>VÄSTERBOTTENS LÄN</t>
        </is>
      </c>
      <c r="E632" t="inlineStr">
        <is>
          <t>NORSJÖ</t>
        </is>
      </c>
      <c r="G632" t="n">
        <v>12.3</v>
      </c>
      <c r="H632" t="n">
        <v>1</v>
      </c>
      <c r="I632" t="n">
        <v>2</v>
      </c>
      <c r="J632" t="n">
        <v>1</v>
      </c>
      <c r="K632" t="n">
        <v>1</v>
      </c>
      <c r="L632" t="n">
        <v>0</v>
      </c>
      <c r="M632" t="n">
        <v>0</v>
      </c>
      <c r="N632" t="n">
        <v>0</v>
      </c>
      <c r="O632" t="n">
        <v>2</v>
      </c>
      <c r="P632" t="n">
        <v>1</v>
      </c>
      <c r="Q632" t="n">
        <v>4</v>
      </c>
      <c r="R632" s="2" t="inlineStr">
        <is>
          <t>Goliatmusseron
Blå taggsvamp
Dropptaggsvamp
Plattlummer</t>
        </is>
      </c>
      <c r="S632">
        <f>HYPERLINK("https://klasma.github.io/Logging_2417/artfynd/A 32387-2024 artfynd.xlsx", "A 32387-2024")</f>
        <v/>
      </c>
      <c r="T632">
        <f>HYPERLINK("https://klasma.github.io/Logging_2417/kartor/A 32387-2024 karta.png", "A 32387-2024")</f>
        <v/>
      </c>
      <c r="V632">
        <f>HYPERLINK("https://klasma.github.io/Logging_2417/klagomål/A 32387-2024 FSC-klagomål.docx", "A 32387-2024")</f>
        <v/>
      </c>
      <c r="W632">
        <f>HYPERLINK("https://klasma.github.io/Logging_2417/klagomålsmail/A 32387-2024 FSC-klagomål mail.docx", "A 32387-2024")</f>
        <v/>
      </c>
      <c r="X632">
        <f>HYPERLINK("https://klasma.github.io/Logging_2417/tillsyn/A 32387-2024 tillsynsbegäran.docx", "A 32387-2024")</f>
        <v/>
      </c>
      <c r="Y632">
        <f>HYPERLINK("https://klasma.github.io/Logging_2417/tillsynsmail/A 32387-2024 tillsynsbegäran mail.docx", "A 32387-2024")</f>
        <v/>
      </c>
    </row>
    <row r="633" ht="15" customHeight="1">
      <c r="A633" t="inlineStr">
        <is>
          <t>A 33586-2024</t>
        </is>
      </c>
      <c r="B633" s="1" t="n">
        <v>45520</v>
      </c>
      <c r="C633" s="1" t="n">
        <v>45718</v>
      </c>
      <c r="D633" t="inlineStr">
        <is>
          <t>VÄSTERBOTTENS LÄN</t>
        </is>
      </c>
      <c r="E633" t="inlineStr">
        <is>
          <t>LYCKSELE</t>
        </is>
      </c>
      <c r="F633" t="inlineStr">
        <is>
          <t>Sveaskog</t>
        </is>
      </c>
      <c r="G633" t="n">
        <v>3.1</v>
      </c>
      <c r="H633" t="n">
        <v>0</v>
      </c>
      <c r="I633" t="n">
        <v>1</v>
      </c>
      <c r="J633" t="n">
        <v>3</v>
      </c>
      <c r="K633" t="n">
        <v>0</v>
      </c>
      <c r="L633" t="n">
        <v>0</v>
      </c>
      <c r="M633" t="n">
        <v>0</v>
      </c>
      <c r="N633" t="n">
        <v>0</v>
      </c>
      <c r="O633" t="n">
        <v>3</v>
      </c>
      <c r="P633" t="n">
        <v>0</v>
      </c>
      <c r="Q633" t="n">
        <v>4</v>
      </c>
      <c r="R633" s="2" t="inlineStr">
        <is>
          <t>Granticka
Mörk kolflarnlav
Ullticka
Luddlav</t>
        </is>
      </c>
      <c r="S633">
        <f>HYPERLINK("https://klasma.github.io/Logging_2481/artfynd/A 33586-2024 artfynd.xlsx", "A 33586-2024")</f>
        <v/>
      </c>
      <c r="T633">
        <f>HYPERLINK("https://klasma.github.io/Logging_2481/kartor/A 33586-2024 karta.png", "A 33586-2024")</f>
        <v/>
      </c>
      <c r="V633">
        <f>HYPERLINK("https://klasma.github.io/Logging_2481/klagomål/A 33586-2024 FSC-klagomål.docx", "A 33586-2024")</f>
        <v/>
      </c>
      <c r="W633">
        <f>HYPERLINK("https://klasma.github.io/Logging_2481/klagomålsmail/A 33586-2024 FSC-klagomål mail.docx", "A 33586-2024")</f>
        <v/>
      </c>
      <c r="X633">
        <f>HYPERLINK("https://klasma.github.io/Logging_2481/tillsyn/A 33586-2024 tillsynsbegäran.docx", "A 33586-2024")</f>
        <v/>
      </c>
      <c r="Y633">
        <f>HYPERLINK("https://klasma.github.io/Logging_2481/tillsynsmail/A 33586-2024 tillsynsbegäran mail.docx", "A 33586-2024")</f>
        <v/>
      </c>
    </row>
    <row r="634" ht="15" customHeight="1">
      <c r="A634" t="inlineStr">
        <is>
          <t>A 33857-2024</t>
        </is>
      </c>
      <c r="B634" s="1" t="n">
        <v>45520</v>
      </c>
      <c r="C634" s="1" t="n">
        <v>45718</v>
      </c>
      <c r="D634" t="inlineStr">
        <is>
          <t>VÄSTERBOTTENS LÄN</t>
        </is>
      </c>
      <c r="E634" t="inlineStr">
        <is>
          <t>STORUMAN</t>
        </is>
      </c>
      <c r="F634" t="inlineStr">
        <is>
          <t>Sveaskog</t>
        </is>
      </c>
      <c r="G634" t="n">
        <v>7.9</v>
      </c>
      <c r="H634" t="n">
        <v>1</v>
      </c>
      <c r="I634" t="n">
        <v>1</v>
      </c>
      <c r="J634" t="n">
        <v>3</v>
      </c>
      <c r="K634" t="n">
        <v>0</v>
      </c>
      <c r="L634" t="n">
        <v>0</v>
      </c>
      <c r="M634" t="n">
        <v>0</v>
      </c>
      <c r="N634" t="n">
        <v>0</v>
      </c>
      <c r="O634" t="n">
        <v>3</v>
      </c>
      <c r="P634" t="n">
        <v>0</v>
      </c>
      <c r="Q634" t="n">
        <v>4</v>
      </c>
      <c r="R634" s="2" t="inlineStr">
        <is>
          <t>Järpe
Kolflarnlav
Mörk kolflarnlav
Skinnlav</t>
        </is>
      </c>
      <c r="S634">
        <f>HYPERLINK("https://klasma.github.io/Logging_2421/artfynd/A 33857-2024 artfynd.xlsx", "A 33857-2024")</f>
        <v/>
      </c>
      <c r="T634">
        <f>HYPERLINK("https://klasma.github.io/Logging_2421/kartor/A 33857-2024 karta.png", "A 33857-2024")</f>
        <v/>
      </c>
      <c r="V634">
        <f>HYPERLINK("https://klasma.github.io/Logging_2421/klagomål/A 33857-2024 FSC-klagomål.docx", "A 33857-2024")</f>
        <v/>
      </c>
      <c r="W634">
        <f>HYPERLINK("https://klasma.github.io/Logging_2421/klagomålsmail/A 33857-2024 FSC-klagomål mail.docx", "A 33857-2024")</f>
        <v/>
      </c>
      <c r="X634">
        <f>HYPERLINK("https://klasma.github.io/Logging_2421/tillsyn/A 33857-2024 tillsynsbegäran.docx", "A 33857-2024")</f>
        <v/>
      </c>
      <c r="Y634">
        <f>HYPERLINK("https://klasma.github.io/Logging_2421/tillsynsmail/A 33857-2024 tillsynsbegäran mail.docx", "A 33857-2024")</f>
        <v/>
      </c>
      <c r="Z634">
        <f>HYPERLINK("https://klasma.github.io/Logging_2421/fåglar/A 33857-2024 prioriterade fågelarter.docx", "A 33857-2024")</f>
        <v/>
      </c>
    </row>
    <row r="635" ht="15" customHeight="1">
      <c r="A635" t="inlineStr">
        <is>
          <t>A 34687-2024</t>
        </is>
      </c>
      <c r="B635" s="1" t="n">
        <v>45526</v>
      </c>
      <c r="C635" s="1" t="n">
        <v>45718</v>
      </c>
      <c r="D635" t="inlineStr">
        <is>
          <t>VÄSTERBOTTENS LÄN</t>
        </is>
      </c>
      <c r="E635" t="inlineStr">
        <is>
          <t>VINDELN</t>
        </is>
      </c>
      <c r="F635" t="inlineStr">
        <is>
          <t>Sveaskog</t>
        </is>
      </c>
      <c r="G635" t="n">
        <v>20.8</v>
      </c>
      <c r="H635" t="n">
        <v>0</v>
      </c>
      <c r="I635" t="n">
        <v>3</v>
      </c>
      <c r="J635" t="n">
        <v>1</v>
      </c>
      <c r="K635" t="n">
        <v>0</v>
      </c>
      <c r="L635" t="n">
        <v>0</v>
      </c>
      <c r="M635" t="n">
        <v>0</v>
      </c>
      <c r="N635" t="n">
        <v>0</v>
      </c>
      <c r="O635" t="n">
        <v>1</v>
      </c>
      <c r="P635" t="n">
        <v>0</v>
      </c>
      <c r="Q635" t="n">
        <v>4</v>
      </c>
      <c r="R635" s="2" t="inlineStr">
        <is>
          <t>Garnlav
Bollvitmossa
Källpraktmossa
Skör kvastmossa</t>
        </is>
      </c>
      <c r="S635">
        <f>HYPERLINK("https://klasma.github.io/Logging_2404/artfynd/A 34687-2024 artfynd.xlsx", "A 34687-2024")</f>
        <v/>
      </c>
      <c r="T635">
        <f>HYPERLINK("https://klasma.github.io/Logging_2404/kartor/A 34687-2024 karta.png", "A 34687-2024")</f>
        <v/>
      </c>
      <c r="V635">
        <f>HYPERLINK("https://klasma.github.io/Logging_2404/klagomål/A 34687-2024 FSC-klagomål.docx", "A 34687-2024")</f>
        <v/>
      </c>
      <c r="W635">
        <f>HYPERLINK("https://klasma.github.io/Logging_2404/klagomålsmail/A 34687-2024 FSC-klagomål mail.docx", "A 34687-2024")</f>
        <v/>
      </c>
      <c r="X635">
        <f>HYPERLINK("https://klasma.github.io/Logging_2404/tillsyn/A 34687-2024 tillsynsbegäran.docx", "A 34687-2024")</f>
        <v/>
      </c>
      <c r="Y635">
        <f>HYPERLINK("https://klasma.github.io/Logging_2404/tillsynsmail/A 34687-2024 tillsynsbegäran mail.docx", "A 34687-2024")</f>
        <v/>
      </c>
    </row>
    <row r="636" ht="15" customHeight="1">
      <c r="A636" t="inlineStr">
        <is>
          <t>A 35790-2024</t>
        </is>
      </c>
      <c r="B636" s="1" t="n">
        <v>45532</v>
      </c>
      <c r="C636" s="1" t="n">
        <v>45718</v>
      </c>
      <c r="D636" t="inlineStr">
        <is>
          <t>VÄSTERBOTTENS LÄN</t>
        </is>
      </c>
      <c r="E636" t="inlineStr">
        <is>
          <t>LYCKSELE</t>
        </is>
      </c>
      <c r="F636" t="inlineStr">
        <is>
          <t>Sveaskog</t>
        </is>
      </c>
      <c r="G636" t="n">
        <v>4.4</v>
      </c>
      <c r="H636" t="n">
        <v>1</v>
      </c>
      <c r="I636" t="n">
        <v>0</v>
      </c>
      <c r="J636" t="n">
        <v>4</v>
      </c>
      <c r="K636" t="n">
        <v>0</v>
      </c>
      <c r="L636" t="n">
        <v>0</v>
      </c>
      <c r="M636" t="n">
        <v>0</v>
      </c>
      <c r="N636" t="n">
        <v>0</v>
      </c>
      <c r="O636" t="n">
        <v>4</v>
      </c>
      <c r="P636" t="n">
        <v>0</v>
      </c>
      <c r="Q636" t="n">
        <v>4</v>
      </c>
      <c r="R636" s="2" t="inlineStr">
        <is>
          <t>Dvärgbägarlav
Tallriska
Talltita
Äggvaxskivling</t>
        </is>
      </c>
      <c r="S636">
        <f>HYPERLINK("https://klasma.github.io/Logging_2481/artfynd/A 35790-2024 artfynd.xlsx", "A 35790-2024")</f>
        <v/>
      </c>
      <c r="T636">
        <f>HYPERLINK("https://klasma.github.io/Logging_2481/kartor/A 35790-2024 karta.png", "A 35790-2024")</f>
        <v/>
      </c>
      <c r="V636">
        <f>HYPERLINK("https://klasma.github.io/Logging_2481/klagomål/A 35790-2024 FSC-klagomål.docx", "A 35790-2024")</f>
        <v/>
      </c>
      <c r="W636">
        <f>HYPERLINK("https://klasma.github.io/Logging_2481/klagomålsmail/A 35790-2024 FSC-klagomål mail.docx", "A 35790-2024")</f>
        <v/>
      </c>
      <c r="X636">
        <f>HYPERLINK("https://klasma.github.io/Logging_2481/tillsyn/A 35790-2024 tillsynsbegäran.docx", "A 35790-2024")</f>
        <v/>
      </c>
      <c r="Y636">
        <f>HYPERLINK("https://klasma.github.io/Logging_2481/tillsynsmail/A 35790-2024 tillsynsbegäran mail.docx", "A 35790-2024")</f>
        <v/>
      </c>
      <c r="Z636">
        <f>HYPERLINK("https://klasma.github.io/Logging_2481/fåglar/A 35790-2024 prioriterade fågelarter.docx", "A 35790-2024")</f>
        <v/>
      </c>
    </row>
    <row r="637" ht="15" customHeight="1">
      <c r="A637" t="inlineStr">
        <is>
          <t>A 38124-2024</t>
        </is>
      </c>
      <c r="B637" s="1" t="n">
        <v>45545</v>
      </c>
      <c r="C637" s="1" t="n">
        <v>45718</v>
      </c>
      <c r="D637" t="inlineStr">
        <is>
          <t>VÄSTERBOTTENS LÄN</t>
        </is>
      </c>
      <c r="E637" t="inlineStr">
        <is>
          <t>VILHELMINA</t>
        </is>
      </c>
      <c r="F637" t="inlineStr">
        <is>
          <t>SCA</t>
        </is>
      </c>
      <c r="G637" t="n">
        <v>3.2</v>
      </c>
      <c r="H637" t="n">
        <v>3</v>
      </c>
      <c r="I637" t="n">
        <v>0</v>
      </c>
      <c r="J637" t="n">
        <v>3</v>
      </c>
      <c r="K637" t="n">
        <v>0</v>
      </c>
      <c r="L637" t="n">
        <v>0</v>
      </c>
      <c r="M637" t="n">
        <v>0</v>
      </c>
      <c r="N637" t="n">
        <v>0</v>
      </c>
      <c r="O637" t="n">
        <v>3</v>
      </c>
      <c r="P637" t="n">
        <v>0</v>
      </c>
      <c r="Q637" t="n">
        <v>4</v>
      </c>
      <c r="R637" s="2" t="inlineStr">
        <is>
          <t>Garnlav
Spillkråka
Tretåig hackspett
Lavskrika</t>
        </is>
      </c>
      <c r="S637">
        <f>HYPERLINK("https://klasma.github.io/Logging_2462/artfynd/A 38124-2024 artfynd.xlsx", "A 38124-2024")</f>
        <v/>
      </c>
      <c r="T637">
        <f>HYPERLINK("https://klasma.github.io/Logging_2462/kartor/A 38124-2024 karta.png", "A 38124-2024")</f>
        <v/>
      </c>
      <c r="V637">
        <f>HYPERLINK("https://klasma.github.io/Logging_2462/klagomål/A 38124-2024 FSC-klagomål.docx", "A 38124-2024")</f>
        <v/>
      </c>
      <c r="W637">
        <f>HYPERLINK("https://klasma.github.io/Logging_2462/klagomålsmail/A 38124-2024 FSC-klagomål mail.docx", "A 38124-2024")</f>
        <v/>
      </c>
      <c r="X637">
        <f>HYPERLINK("https://klasma.github.io/Logging_2462/tillsyn/A 38124-2024 tillsynsbegäran.docx", "A 38124-2024")</f>
        <v/>
      </c>
      <c r="Y637">
        <f>HYPERLINK("https://klasma.github.io/Logging_2462/tillsynsmail/A 38124-2024 tillsynsbegäran mail.docx", "A 38124-2024")</f>
        <v/>
      </c>
      <c r="Z637">
        <f>HYPERLINK("https://klasma.github.io/Logging_2462/fåglar/A 38124-2024 prioriterade fågelarter.docx", "A 38124-2024")</f>
        <v/>
      </c>
    </row>
    <row r="638" ht="15" customHeight="1">
      <c r="A638" t="inlineStr">
        <is>
          <t>A 39942-2024</t>
        </is>
      </c>
      <c r="B638" s="1" t="n">
        <v>45553</v>
      </c>
      <c r="C638" s="1" t="n">
        <v>45718</v>
      </c>
      <c r="D638" t="inlineStr">
        <is>
          <t>VÄSTERBOTTENS LÄN</t>
        </is>
      </c>
      <c r="E638" t="inlineStr">
        <is>
          <t>VINDELN</t>
        </is>
      </c>
      <c r="F638" t="inlineStr">
        <is>
          <t>Holmen skog AB</t>
        </is>
      </c>
      <c r="G638" t="n">
        <v>7.4</v>
      </c>
      <c r="H638" t="n">
        <v>2</v>
      </c>
      <c r="I638" t="n">
        <v>1</v>
      </c>
      <c r="J638" t="n">
        <v>2</v>
      </c>
      <c r="K638" t="n">
        <v>1</v>
      </c>
      <c r="L638" t="n">
        <v>0</v>
      </c>
      <c r="M638" t="n">
        <v>0</v>
      </c>
      <c r="N638" t="n">
        <v>0</v>
      </c>
      <c r="O638" t="n">
        <v>3</v>
      </c>
      <c r="P638" t="n">
        <v>1</v>
      </c>
      <c r="Q638" t="n">
        <v>4</v>
      </c>
      <c r="R638" s="2" t="inlineStr">
        <is>
          <t>Knärot
Granticka
Tretåig hackspett
Vedticka</t>
        </is>
      </c>
      <c r="S638">
        <f>HYPERLINK("https://klasma.github.io/Logging_2404/artfynd/A 39942-2024 artfynd.xlsx", "A 39942-2024")</f>
        <v/>
      </c>
      <c r="T638">
        <f>HYPERLINK("https://klasma.github.io/Logging_2404/kartor/A 39942-2024 karta.png", "A 39942-2024")</f>
        <v/>
      </c>
      <c r="U638">
        <f>HYPERLINK("https://klasma.github.io/Logging_2404/knärot/A 39942-2024 karta knärot.png", "A 39942-2024")</f>
        <v/>
      </c>
      <c r="V638">
        <f>HYPERLINK("https://klasma.github.io/Logging_2404/klagomål/A 39942-2024 FSC-klagomål.docx", "A 39942-2024")</f>
        <v/>
      </c>
      <c r="W638">
        <f>HYPERLINK("https://klasma.github.io/Logging_2404/klagomålsmail/A 39942-2024 FSC-klagomål mail.docx", "A 39942-2024")</f>
        <v/>
      </c>
      <c r="X638">
        <f>HYPERLINK("https://klasma.github.io/Logging_2404/tillsyn/A 39942-2024 tillsynsbegäran.docx", "A 39942-2024")</f>
        <v/>
      </c>
      <c r="Y638">
        <f>HYPERLINK("https://klasma.github.io/Logging_2404/tillsynsmail/A 39942-2024 tillsynsbegäran mail.docx", "A 39942-2024")</f>
        <v/>
      </c>
      <c r="Z638">
        <f>HYPERLINK("https://klasma.github.io/Logging_2404/fåglar/A 39942-2024 prioriterade fågelarter.docx", "A 39942-2024")</f>
        <v/>
      </c>
    </row>
    <row r="639" ht="15" customHeight="1">
      <c r="A639" t="inlineStr">
        <is>
          <t>A 40484-2024</t>
        </is>
      </c>
      <c r="B639" s="1" t="n">
        <v>45555</v>
      </c>
      <c r="C639" s="1" t="n">
        <v>45718</v>
      </c>
      <c r="D639" t="inlineStr">
        <is>
          <t>VÄSTERBOTTENS LÄN</t>
        </is>
      </c>
      <c r="E639" t="inlineStr">
        <is>
          <t>SKELLEFTEÅ</t>
        </is>
      </c>
      <c r="G639" t="n">
        <v>2</v>
      </c>
      <c r="H639" t="n">
        <v>0</v>
      </c>
      <c r="I639" t="n">
        <v>1</v>
      </c>
      <c r="J639" t="n">
        <v>2</v>
      </c>
      <c r="K639" t="n">
        <v>1</v>
      </c>
      <c r="L639" t="n">
        <v>0</v>
      </c>
      <c r="M639" t="n">
        <v>0</v>
      </c>
      <c r="N639" t="n">
        <v>0</v>
      </c>
      <c r="O639" t="n">
        <v>3</v>
      </c>
      <c r="P639" t="n">
        <v>1</v>
      </c>
      <c r="Q639" t="n">
        <v>4</v>
      </c>
      <c r="R639" s="2" t="inlineStr">
        <is>
          <t>Smalfotad taggsvamp
Skrovlig taggsvamp
Talltaggsvamp
Dropptaggsvamp</t>
        </is>
      </c>
      <c r="S639">
        <f>HYPERLINK("https://klasma.github.io/Logging_2482/artfynd/A 40484-2024 artfynd.xlsx", "A 40484-2024")</f>
        <v/>
      </c>
      <c r="T639">
        <f>HYPERLINK("https://klasma.github.io/Logging_2482/kartor/A 40484-2024 karta.png", "A 40484-2024")</f>
        <v/>
      </c>
      <c r="V639">
        <f>HYPERLINK("https://klasma.github.io/Logging_2482/klagomål/A 40484-2024 FSC-klagomål.docx", "A 40484-2024")</f>
        <v/>
      </c>
      <c r="W639">
        <f>HYPERLINK("https://klasma.github.io/Logging_2482/klagomålsmail/A 40484-2024 FSC-klagomål mail.docx", "A 40484-2024")</f>
        <v/>
      </c>
      <c r="X639">
        <f>HYPERLINK("https://klasma.github.io/Logging_2482/tillsyn/A 40484-2024 tillsynsbegäran.docx", "A 40484-2024")</f>
        <v/>
      </c>
      <c r="Y639">
        <f>HYPERLINK("https://klasma.github.io/Logging_2482/tillsynsmail/A 40484-2024 tillsynsbegäran mail.docx", "A 40484-2024")</f>
        <v/>
      </c>
    </row>
    <row r="640" ht="15" customHeight="1">
      <c r="A640" t="inlineStr">
        <is>
          <t>A 40736-2024</t>
        </is>
      </c>
      <c r="B640" s="1" t="n">
        <v>45558</v>
      </c>
      <c r="C640" s="1" t="n">
        <v>45718</v>
      </c>
      <c r="D640" t="inlineStr">
        <is>
          <t>VÄSTERBOTTENS LÄN</t>
        </is>
      </c>
      <c r="E640" t="inlineStr">
        <is>
          <t>VILHELMINA</t>
        </is>
      </c>
      <c r="F640" t="inlineStr">
        <is>
          <t>Allmännings- och besparingsskogar</t>
        </is>
      </c>
      <c r="G640" t="n">
        <v>284.2</v>
      </c>
      <c r="H640" t="n">
        <v>0</v>
      </c>
      <c r="I640" t="n">
        <v>0</v>
      </c>
      <c r="J640" t="n">
        <v>4</v>
      </c>
      <c r="K640" t="n">
        <v>0</v>
      </c>
      <c r="L640" t="n">
        <v>0</v>
      </c>
      <c r="M640" t="n">
        <v>0</v>
      </c>
      <c r="N640" t="n">
        <v>0</v>
      </c>
      <c r="O640" t="n">
        <v>4</v>
      </c>
      <c r="P640" t="n">
        <v>0</v>
      </c>
      <c r="Q640" t="n">
        <v>4</v>
      </c>
      <c r="R640" s="2" t="inlineStr">
        <is>
          <t>Gammelgransskål
Granticka
Knottrig blåslav
Rödbrun blekspik</t>
        </is>
      </c>
      <c r="S640">
        <f>HYPERLINK("https://klasma.github.io/Logging_2462/artfynd/A 40736-2024 artfynd.xlsx", "A 40736-2024")</f>
        <v/>
      </c>
      <c r="T640">
        <f>HYPERLINK("https://klasma.github.io/Logging_2462/kartor/A 40736-2024 karta.png", "A 40736-2024")</f>
        <v/>
      </c>
      <c r="V640">
        <f>HYPERLINK("https://klasma.github.io/Logging_2462/klagomål/A 40736-2024 FSC-klagomål.docx", "A 40736-2024")</f>
        <v/>
      </c>
      <c r="W640">
        <f>HYPERLINK("https://klasma.github.io/Logging_2462/klagomålsmail/A 40736-2024 FSC-klagomål mail.docx", "A 40736-2024")</f>
        <v/>
      </c>
      <c r="X640">
        <f>HYPERLINK("https://klasma.github.io/Logging_2462/tillsyn/A 40736-2024 tillsynsbegäran.docx", "A 40736-2024")</f>
        <v/>
      </c>
      <c r="Y640">
        <f>HYPERLINK("https://klasma.github.io/Logging_2462/tillsynsmail/A 40736-2024 tillsynsbegäran mail.docx", "A 40736-2024")</f>
        <v/>
      </c>
    </row>
    <row r="641" ht="15" customHeight="1">
      <c r="A641" t="inlineStr">
        <is>
          <t>A 40760-2024</t>
        </is>
      </c>
      <c r="B641" s="1" t="n">
        <v>45558</v>
      </c>
      <c r="C641" s="1" t="n">
        <v>45718</v>
      </c>
      <c r="D641" t="inlineStr">
        <is>
          <t>VÄSTERBOTTENS LÄN</t>
        </is>
      </c>
      <c r="E641" t="inlineStr">
        <is>
          <t>VINDELN</t>
        </is>
      </c>
      <c r="F641" t="inlineStr">
        <is>
          <t>Holmen skog AB</t>
        </is>
      </c>
      <c r="G641" t="n">
        <v>8.1</v>
      </c>
      <c r="H641" t="n">
        <v>0</v>
      </c>
      <c r="I641" t="n">
        <v>2</v>
      </c>
      <c r="J641" t="n">
        <v>2</v>
      </c>
      <c r="K641" t="n">
        <v>0</v>
      </c>
      <c r="L641" t="n">
        <v>0</v>
      </c>
      <c r="M641" t="n">
        <v>0</v>
      </c>
      <c r="N641" t="n">
        <v>0</v>
      </c>
      <c r="O641" t="n">
        <v>2</v>
      </c>
      <c r="P641" t="n">
        <v>0</v>
      </c>
      <c r="Q641" t="n">
        <v>4</v>
      </c>
      <c r="R641" s="2" t="inlineStr">
        <is>
          <t>Granticka
Ullticka
Skinnlav
Trådticka</t>
        </is>
      </c>
      <c r="S641">
        <f>HYPERLINK("https://klasma.github.io/Logging_2404/artfynd/A 40760-2024 artfynd.xlsx", "A 40760-2024")</f>
        <v/>
      </c>
      <c r="T641">
        <f>HYPERLINK("https://klasma.github.io/Logging_2404/kartor/A 40760-2024 karta.png", "A 40760-2024")</f>
        <v/>
      </c>
      <c r="V641">
        <f>HYPERLINK("https://klasma.github.io/Logging_2404/klagomål/A 40760-2024 FSC-klagomål.docx", "A 40760-2024")</f>
        <v/>
      </c>
      <c r="W641">
        <f>HYPERLINK("https://klasma.github.io/Logging_2404/klagomålsmail/A 40760-2024 FSC-klagomål mail.docx", "A 40760-2024")</f>
        <v/>
      </c>
      <c r="X641">
        <f>HYPERLINK("https://klasma.github.io/Logging_2404/tillsyn/A 40760-2024 tillsynsbegäran.docx", "A 40760-2024")</f>
        <v/>
      </c>
      <c r="Y641">
        <f>HYPERLINK("https://klasma.github.io/Logging_2404/tillsynsmail/A 40760-2024 tillsynsbegäran mail.docx", "A 40760-2024")</f>
        <v/>
      </c>
    </row>
    <row r="642" ht="15" customHeight="1">
      <c r="A642" t="inlineStr">
        <is>
          <t>A 41550-2024</t>
        </is>
      </c>
      <c r="B642" s="1" t="n">
        <v>45560</v>
      </c>
      <c r="C642" s="1" t="n">
        <v>45718</v>
      </c>
      <c r="D642" t="inlineStr">
        <is>
          <t>VÄSTERBOTTENS LÄN</t>
        </is>
      </c>
      <c r="E642" t="inlineStr">
        <is>
          <t>ROBERTSFORS</t>
        </is>
      </c>
      <c r="F642" t="inlineStr">
        <is>
          <t>Holmen skog AB</t>
        </is>
      </c>
      <c r="G642" t="n">
        <v>2.9</v>
      </c>
      <c r="H642" t="n">
        <v>0</v>
      </c>
      <c r="I642" t="n">
        <v>0</v>
      </c>
      <c r="J642" t="n">
        <v>4</v>
      </c>
      <c r="K642" t="n">
        <v>0</v>
      </c>
      <c r="L642" t="n">
        <v>0</v>
      </c>
      <c r="M642" t="n">
        <v>0</v>
      </c>
      <c r="N642" t="n">
        <v>0</v>
      </c>
      <c r="O642" t="n">
        <v>4</v>
      </c>
      <c r="P642" t="n">
        <v>0</v>
      </c>
      <c r="Q642" t="n">
        <v>4</v>
      </c>
      <c r="R642" s="2" t="inlineStr">
        <is>
          <t>Garnlav
Granticka
Harticka
Ullticka</t>
        </is>
      </c>
      <c r="S642">
        <f>HYPERLINK("https://klasma.github.io/Logging_2409/artfynd/A 41550-2024 artfynd.xlsx", "A 41550-2024")</f>
        <v/>
      </c>
      <c r="T642">
        <f>HYPERLINK("https://klasma.github.io/Logging_2409/kartor/A 41550-2024 karta.png", "A 41550-2024")</f>
        <v/>
      </c>
      <c r="V642">
        <f>HYPERLINK("https://klasma.github.io/Logging_2409/klagomål/A 41550-2024 FSC-klagomål.docx", "A 41550-2024")</f>
        <v/>
      </c>
      <c r="W642">
        <f>HYPERLINK("https://klasma.github.io/Logging_2409/klagomålsmail/A 41550-2024 FSC-klagomål mail.docx", "A 41550-2024")</f>
        <v/>
      </c>
      <c r="X642">
        <f>HYPERLINK("https://klasma.github.io/Logging_2409/tillsyn/A 41550-2024 tillsynsbegäran.docx", "A 41550-2024")</f>
        <v/>
      </c>
      <c r="Y642">
        <f>HYPERLINK("https://klasma.github.io/Logging_2409/tillsynsmail/A 41550-2024 tillsynsbegäran mail.docx", "A 41550-2024")</f>
        <v/>
      </c>
    </row>
    <row r="643" ht="15" customHeight="1">
      <c r="A643" t="inlineStr">
        <is>
          <t>A 42812-2024</t>
        </is>
      </c>
      <c r="B643" s="1" t="n">
        <v>45566</v>
      </c>
      <c r="C643" s="1" t="n">
        <v>45718</v>
      </c>
      <c r="D643" t="inlineStr">
        <is>
          <t>VÄSTERBOTTENS LÄN</t>
        </is>
      </c>
      <c r="E643" t="inlineStr">
        <is>
          <t>UMEÅ</t>
        </is>
      </c>
      <c r="F643" t="inlineStr">
        <is>
          <t>Holmen skog AB</t>
        </is>
      </c>
      <c r="G643" t="n">
        <v>9.300000000000001</v>
      </c>
      <c r="H643" t="n">
        <v>3</v>
      </c>
      <c r="I643" t="n">
        <v>0</v>
      </c>
      <c r="J643" t="n">
        <v>3</v>
      </c>
      <c r="K643" t="n">
        <v>0</v>
      </c>
      <c r="L643" t="n">
        <v>0</v>
      </c>
      <c r="M643" t="n">
        <v>0</v>
      </c>
      <c r="N643" t="n">
        <v>0</v>
      </c>
      <c r="O643" t="n">
        <v>3</v>
      </c>
      <c r="P643" t="n">
        <v>0</v>
      </c>
      <c r="Q643" t="n">
        <v>4</v>
      </c>
      <c r="R643" s="2" t="inlineStr">
        <is>
          <t>Garnlav
Järpe
Talltita
Tjäder</t>
        </is>
      </c>
      <c r="S643">
        <f>HYPERLINK("https://klasma.github.io/Logging_2480/artfynd/A 42812-2024 artfynd.xlsx", "A 42812-2024")</f>
        <v/>
      </c>
      <c r="T643">
        <f>HYPERLINK("https://klasma.github.io/Logging_2480/kartor/A 42812-2024 karta.png", "A 42812-2024")</f>
        <v/>
      </c>
      <c r="V643">
        <f>HYPERLINK("https://klasma.github.io/Logging_2480/klagomål/A 42812-2024 FSC-klagomål.docx", "A 42812-2024")</f>
        <v/>
      </c>
      <c r="W643">
        <f>HYPERLINK("https://klasma.github.io/Logging_2480/klagomålsmail/A 42812-2024 FSC-klagomål mail.docx", "A 42812-2024")</f>
        <v/>
      </c>
      <c r="X643">
        <f>HYPERLINK("https://klasma.github.io/Logging_2480/tillsyn/A 42812-2024 tillsynsbegäran.docx", "A 42812-2024")</f>
        <v/>
      </c>
      <c r="Y643">
        <f>HYPERLINK("https://klasma.github.io/Logging_2480/tillsynsmail/A 42812-2024 tillsynsbegäran mail.docx", "A 42812-2024")</f>
        <v/>
      </c>
      <c r="Z643">
        <f>HYPERLINK("https://klasma.github.io/Logging_2480/fåglar/A 42812-2024 prioriterade fågelarter.docx", "A 42812-2024")</f>
        <v/>
      </c>
    </row>
    <row r="644" ht="15" customHeight="1">
      <c r="A644" t="inlineStr">
        <is>
          <t>A 43000-2024</t>
        </is>
      </c>
      <c r="B644" s="1" t="n">
        <v>45567</v>
      </c>
      <c r="C644" s="1" t="n">
        <v>45718</v>
      </c>
      <c r="D644" t="inlineStr">
        <is>
          <t>VÄSTERBOTTENS LÄN</t>
        </is>
      </c>
      <c r="E644" t="inlineStr">
        <is>
          <t>SKELLEFTEÅ</t>
        </is>
      </c>
      <c r="G644" t="n">
        <v>4.4</v>
      </c>
      <c r="H644" t="n">
        <v>2</v>
      </c>
      <c r="I644" t="n">
        <v>0</v>
      </c>
      <c r="J644" t="n">
        <v>4</v>
      </c>
      <c r="K644" t="n">
        <v>0</v>
      </c>
      <c r="L644" t="n">
        <v>0</v>
      </c>
      <c r="M644" t="n">
        <v>0</v>
      </c>
      <c r="N644" t="n">
        <v>0</v>
      </c>
      <c r="O644" t="n">
        <v>4</v>
      </c>
      <c r="P644" t="n">
        <v>0</v>
      </c>
      <c r="Q644" t="n">
        <v>4</v>
      </c>
      <c r="R644" s="2" t="inlineStr">
        <is>
          <t>Gammelgransskål
Granticka
Talltita
Tretåig hackspett</t>
        </is>
      </c>
      <c r="S644">
        <f>HYPERLINK("https://klasma.github.io/Logging_2482/artfynd/A 43000-2024 artfynd.xlsx", "A 43000-2024")</f>
        <v/>
      </c>
      <c r="T644">
        <f>HYPERLINK("https://klasma.github.io/Logging_2482/kartor/A 43000-2024 karta.png", "A 43000-2024")</f>
        <v/>
      </c>
      <c r="V644">
        <f>HYPERLINK("https://klasma.github.io/Logging_2482/klagomål/A 43000-2024 FSC-klagomål.docx", "A 43000-2024")</f>
        <v/>
      </c>
      <c r="W644">
        <f>HYPERLINK("https://klasma.github.io/Logging_2482/klagomålsmail/A 43000-2024 FSC-klagomål mail.docx", "A 43000-2024")</f>
        <v/>
      </c>
      <c r="X644">
        <f>HYPERLINK("https://klasma.github.io/Logging_2482/tillsyn/A 43000-2024 tillsynsbegäran.docx", "A 43000-2024")</f>
        <v/>
      </c>
      <c r="Y644">
        <f>HYPERLINK("https://klasma.github.io/Logging_2482/tillsynsmail/A 43000-2024 tillsynsbegäran mail.docx", "A 43000-2024")</f>
        <v/>
      </c>
      <c r="Z644">
        <f>HYPERLINK("https://klasma.github.io/Logging_2482/fåglar/A 43000-2024 prioriterade fågelarter.docx", "A 43000-2024")</f>
        <v/>
      </c>
    </row>
    <row r="645" ht="15" customHeight="1">
      <c r="A645" t="inlineStr">
        <is>
          <t>A 46203-2024</t>
        </is>
      </c>
      <c r="B645" s="1" t="n">
        <v>45581</v>
      </c>
      <c r="C645" s="1" t="n">
        <v>45718</v>
      </c>
      <c r="D645" t="inlineStr">
        <is>
          <t>VÄSTERBOTTENS LÄN</t>
        </is>
      </c>
      <c r="E645" t="inlineStr">
        <is>
          <t>LYCKSELE</t>
        </is>
      </c>
      <c r="F645" t="inlineStr">
        <is>
          <t>Sveaskog</t>
        </is>
      </c>
      <c r="G645" t="n">
        <v>16.9</v>
      </c>
      <c r="H645" t="n">
        <v>0</v>
      </c>
      <c r="I645" t="n">
        <v>1</v>
      </c>
      <c r="J645" t="n">
        <v>3</v>
      </c>
      <c r="K645" t="n">
        <v>0</v>
      </c>
      <c r="L645" t="n">
        <v>0</v>
      </c>
      <c r="M645" t="n">
        <v>0</v>
      </c>
      <c r="N645" t="n">
        <v>0</v>
      </c>
      <c r="O645" t="n">
        <v>3</v>
      </c>
      <c r="P645" t="n">
        <v>0</v>
      </c>
      <c r="Q645" t="n">
        <v>4</v>
      </c>
      <c r="R645" s="2" t="inlineStr">
        <is>
          <t>Mörk kolflarnlav
Orange taggsvamp
Talltaggsvamp
Skarp dropptaggsvamp</t>
        </is>
      </c>
      <c r="S645">
        <f>HYPERLINK("https://klasma.github.io/Logging_2481/artfynd/A 46203-2024 artfynd.xlsx", "A 46203-2024")</f>
        <v/>
      </c>
      <c r="T645">
        <f>HYPERLINK("https://klasma.github.io/Logging_2481/kartor/A 46203-2024 karta.png", "A 46203-2024")</f>
        <v/>
      </c>
      <c r="V645">
        <f>HYPERLINK("https://klasma.github.io/Logging_2481/klagomål/A 46203-2024 FSC-klagomål.docx", "A 46203-2024")</f>
        <v/>
      </c>
      <c r="W645">
        <f>HYPERLINK("https://klasma.github.io/Logging_2481/klagomålsmail/A 46203-2024 FSC-klagomål mail.docx", "A 46203-2024")</f>
        <v/>
      </c>
      <c r="X645">
        <f>HYPERLINK("https://klasma.github.io/Logging_2481/tillsyn/A 46203-2024 tillsynsbegäran.docx", "A 46203-2024")</f>
        <v/>
      </c>
      <c r="Y645">
        <f>HYPERLINK("https://klasma.github.io/Logging_2481/tillsynsmail/A 46203-2024 tillsynsbegäran mail.docx", "A 46203-2024")</f>
        <v/>
      </c>
    </row>
    <row r="646" ht="15" customHeight="1">
      <c r="A646" t="inlineStr">
        <is>
          <t>A 47450-2024</t>
        </is>
      </c>
      <c r="B646" s="1" t="n">
        <v>45587</v>
      </c>
      <c r="C646" s="1" t="n">
        <v>45718</v>
      </c>
      <c r="D646" t="inlineStr">
        <is>
          <t>VÄSTERBOTTENS LÄN</t>
        </is>
      </c>
      <c r="E646" t="inlineStr">
        <is>
          <t>NORSJÖ</t>
        </is>
      </c>
      <c r="F646" t="inlineStr">
        <is>
          <t>Sveaskog</t>
        </is>
      </c>
      <c r="G646" t="n">
        <v>4.5</v>
      </c>
      <c r="H646" t="n">
        <v>0</v>
      </c>
      <c r="I646" t="n">
        <v>2</v>
      </c>
      <c r="J646" t="n">
        <v>2</v>
      </c>
      <c r="K646" t="n">
        <v>0</v>
      </c>
      <c r="L646" t="n">
        <v>0</v>
      </c>
      <c r="M646" t="n">
        <v>0</v>
      </c>
      <c r="N646" t="n">
        <v>0</v>
      </c>
      <c r="O646" t="n">
        <v>2</v>
      </c>
      <c r="P646" t="n">
        <v>0</v>
      </c>
      <c r="Q646" t="n">
        <v>4</v>
      </c>
      <c r="R646" s="2" t="inlineStr">
        <is>
          <t>Blå taggsvamp
Orange taggsvamp
Dropptaggsvamp
Nästlav</t>
        </is>
      </c>
      <c r="S646">
        <f>HYPERLINK("https://klasma.github.io/Logging_2417/artfynd/A 47450-2024 artfynd.xlsx", "A 47450-2024")</f>
        <v/>
      </c>
      <c r="T646">
        <f>HYPERLINK("https://klasma.github.io/Logging_2417/kartor/A 47450-2024 karta.png", "A 47450-2024")</f>
        <v/>
      </c>
      <c r="V646">
        <f>HYPERLINK("https://klasma.github.io/Logging_2417/klagomål/A 47450-2024 FSC-klagomål.docx", "A 47450-2024")</f>
        <v/>
      </c>
      <c r="W646">
        <f>HYPERLINK("https://klasma.github.io/Logging_2417/klagomålsmail/A 47450-2024 FSC-klagomål mail.docx", "A 47450-2024")</f>
        <v/>
      </c>
      <c r="X646">
        <f>HYPERLINK("https://klasma.github.io/Logging_2417/tillsyn/A 47450-2024 tillsynsbegäran.docx", "A 47450-2024")</f>
        <v/>
      </c>
      <c r="Y646">
        <f>HYPERLINK("https://klasma.github.io/Logging_2417/tillsynsmail/A 47450-2024 tillsynsbegäran mail.docx", "A 47450-2024")</f>
        <v/>
      </c>
    </row>
    <row r="647" ht="15" customHeight="1">
      <c r="A647" t="inlineStr">
        <is>
          <t>A 47332-2024</t>
        </is>
      </c>
      <c r="B647" s="1" t="n">
        <v>45587</v>
      </c>
      <c r="C647" s="1" t="n">
        <v>45718</v>
      </c>
      <c r="D647" t="inlineStr">
        <is>
          <t>VÄSTERBOTTENS LÄN</t>
        </is>
      </c>
      <c r="E647" t="inlineStr">
        <is>
          <t>NORSJÖ</t>
        </is>
      </c>
      <c r="F647" t="inlineStr">
        <is>
          <t>Sveaskog</t>
        </is>
      </c>
      <c r="G647" t="n">
        <v>17.5</v>
      </c>
      <c r="H647" t="n">
        <v>0</v>
      </c>
      <c r="I647" t="n">
        <v>1</v>
      </c>
      <c r="J647" t="n">
        <v>2</v>
      </c>
      <c r="K647" t="n">
        <v>1</v>
      </c>
      <c r="L647" t="n">
        <v>0</v>
      </c>
      <c r="M647" t="n">
        <v>0</v>
      </c>
      <c r="N647" t="n">
        <v>0</v>
      </c>
      <c r="O647" t="n">
        <v>3</v>
      </c>
      <c r="P647" t="n">
        <v>1</v>
      </c>
      <c r="Q647" t="n">
        <v>4</v>
      </c>
      <c r="R647" s="2" t="inlineStr">
        <is>
          <t>Lammticka
Motaggsvamp
Orange taggsvamp
Dropptaggsvamp</t>
        </is>
      </c>
      <c r="S647">
        <f>HYPERLINK("https://klasma.github.io/Logging_2417/artfynd/A 47332-2024 artfynd.xlsx", "A 47332-2024")</f>
        <v/>
      </c>
      <c r="T647">
        <f>HYPERLINK("https://klasma.github.io/Logging_2417/kartor/A 47332-2024 karta.png", "A 47332-2024")</f>
        <v/>
      </c>
      <c r="V647">
        <f>HYPERLINK("https://klasma.github.io/Logging_2417/klagomål/A 47332-2024 FSC-klagomål.docx", "A 47332-2024")</f>
        <v/>
      </c>
      <c r="W647">
        <f>HYPERLINK("https://klasma.github.io/Logging_2417/klagomålsmail/A 47332-2024 FSC-klagomål mail.docx", "A 47332-2024")</f>
        <v/>
      </c>
      <c r="X647">
        <f>HYPERLINK("https://klasma.github.io/Logging_2417/tillsyn/A 47332-2024 tillsynsbegäran.docx", "A 47332-2024")</f>
        <v/>
      </c>
      <c r="Y647">
        <f>HYPERLINK("https://klasma.github.io/Logging_2417/tillsynsmail/A 47332-2024 tillsynsbegäran mail.docx", "A 47332-2024")</f>
        <v/>
      </c>
    </row>
    <row r="648" ht="15" customHeight="1">
      <c r="A648" t="inlineStr">
        <is>
          <t>A 47977-2024</t>
        </is>
      </c>
      <c r="B648" s="1" t="n">
        <v>45589</v>
      </c>
      <c r="C648" s="1" t="n">
        <v>45718</v>
      </c>
      <c r="D648" t="inlineStr">
        <is>
          <t>VÄSTERBOTTENS LÄN</t>
        </is>
      </c>
      <c r="E648" t="inlineStr">
        <is>
          <t>LYCKSELE</t>
        </is>
      </c>
      <c r="F648" t="inlineStr">
        <is>
          <t>Sveaskog</t>
        </is>
      </c>
      <c r="G648" t="n">
        <v>3</v>
      </c>
      <c r="H648" t="n">
        <v>0</v>
      </c>
      <c r="I648" t="n">
        <v>0</v>
      </c>
      <c r="J648" t="n">
        <v>4</v>
      </c>
      <c r="K648" t="n">
        <v>0</v>
      </c>
      <c r="L648" t="n">
        <v>0</v>
      </c>
      <c r="M648" t="n">
        <v>0</v>
      </c>
      <c r="N648" t="n">
        <v>0</v>
      </c>
      <c r="O648" t="n">
        <v>4</v>
      </c>
      <c r="P648" t="n">
        <v>0</v>
      </c>
      <c r="Q648" t="n">
        <v>4</v>
      </c>
      <c r="R648" s="2" t="inlineStr">
        <is>
          <t>Blå taggsvamp
Kolflarnlav
Orange taggsvamp
Skrovlig taggsvamp</t>
        </is>
      </c>
      <c r="S648">
        <f>HYPERLINK("https://klasma.github.io/Logging_2481/artfynd/A 47977-2024 artfynd.xlsx", "A 47977-2024")</f>
        <v/>
      </c>
      <c r="T648">
        <f>HYPERLINK("https://klasma.github.io/Logging_2481/kartor/A 47977-2024 karta.png", "A 47977-2024")</f>
        <v/>
      </c>
      <c r="V648">
        <f>HYPERLINK("https://klasma.github.io/Logging_2481/klagomål/A 47977-2024 FSC-klagomål.docx", "A 47977-2024")</f>
        <v/>
      </c>
      <c r="W648">
        <f>HYPERLINK("https://klasma.github.io/Logging_2481/klagomålsmail/A 47977-2024 FSC-klagomål mail.docx", "A 47977-2024")</f>
        <v/>
      </c>
      <c r="X648">
        <f>HYPERLINK("https://klasma.github.io/Logging_2481/tillsyn/A 47977-2024 tillsynsbegäran.docx", "A 47977-2024")</f>
        <v/>
      </c>
      <c r="Y648">
        <f>HYPERLINK("https://klasma.github.io/Logging_2481/tillsynsmail/A 47977-2024 tillsynsbegäran mail.docx", "A 47977-2024")</f>
        <v/>
      </c>
    </row>
    <row r="649" ht="15" customHeight="1">
      <c r="A649" t="inlineStr">
        <is>
          <t>A 51706-2024</t>
        </is>
      </c>
      <c r="B649" s="1" t="n">
        <v>45604</v>
      </c>
      <c r="C649" s="1" t="n">
        <v>45718</v>
      </c>
      <c r="D649" t="inlineStr">
        <is>
          <t>VÄSTERBOTTENS LÄN</t>
        </is>
      </c>
      <c r="E649" t="inlineStr">
        <is>
          <t>STORUMAN</t>
        </is>
      </c>
      <c r="F649" t="inlineStr">
        <is>
          <t>Allmännings- och besparingsskogar</t>
        </is>
      </c>
      <c r="G649" t="n">
        <v>164.5</v>
      </c>
      <c r="H649" t="n">
        <v>1</v>
      </c>
      <c r="I649" t="n">
        <v>0</v>
      </c>
      <c r="J649" t="n">
        <v>4</v>
      </c>
      <c r="K649" t="n">
        <v>0</v>
      </c>
      <c r="L649" t="n">
        <v>0</v>
      </c>
      <c r="M649" t="n">
        <v>0</v>
      </c>
      <c r="N649" t="n">
        <v>0</v>
      </c>
      <c r="O649" t="n">
        <v>4</v>
      </c>
      <c r="P649" t="n">
        <v>0</v>
      </c>
      <c r="Q649" t="n">
        <v>4</v>
      </c>
      <c r="R649" s="2" t="inlineStr">
        <is>
          <t>Brunpudrad nållav
Garnlav
Granticka
Tretåig hackspett</t>
        </is>
      </c>
      <c r="S649">
        <f>HYPERLINK("https://klasma.github.io/Logging_2421/artfynd/A 51706-2024 artfynd.xlsx", "A 51706-2024")</f>
        <v/>
      </c>
      <c r="T649">
        <f>HYPERLINK("https://klasma.github.io/Logging_2421/kartor/A 51706-2024 karta.png", "A 51706-2024")</f>
        <v/>
      </c>
      <c r="V649">
        <f>HYPERLINK("https://klasma.github.io/Logging_2421/klagomål/A 51706-2024 FSC-klagomål.docx", "A 51706-2024")</f>
        <v/>
      </c>
      <c r="W649">
        <f>HYPERLINK("https://klasma.github.io/Logging_2421/klagomålsmail/A 51706-2024 FSC-klagomål mail.docx", "A 51706-2024")</f>
        <v/>
      </c>
      <c r="X649">
        <f>HYPERLINK("https://klasma.github.io/Logging_2421/tillsyn/A 51706-2024 tillsynsbegäran.docx", "A 51706-2024")</f>
        <v/>
      </c>
      <c r="Y649">
        <f>HYPERLINK("https://klasma.github.io/Logging_2421/tillsynsmail/A 51706-2024 tillsynsbegäran mail.docx", "A 51706-2024")</f>
        <v/>
      </c>
      <c r="Z649">
        <f>HYPERLINK("https://klasma.github.io/Logging_2421/fåglar/A 51706-2024 prioriterade fågelarter.docx", "A 51706-2024")</f>
        <v/>
      </c>
    </row>
    <row r="650" ht="15" customHeight="1">
      <c r="A650" t="inlineStr">
        <is>
          <t>A 52764-2024</t>
        </is>
      </c>
      <c r="B650" s="1" t="n">
        <v>45610</v>
      </c>
      <c r="C650" s="1" t="n">
        <v>45718</v>
      </c>
      <c r="D650" t="inlineStr">
        <is>
          <t>VÄSTERBOTTENS LÄN</t>
        </is>
      </c>
      <c r="E650" t="inlineStr">
        <is>
          <t>UMEÅ</t>
        </is>
      </c>
      <c r="G650" t="n">
        <v>4.8</v>
      </c>
      <c r="H650" t="n">
        <v>0</v>
      </c>
      <c r="I650" t="n">
        <v>2</v>
      </c>
      <c r="J650" t="n">
        <v>2</v>
      </c>
      <c r="K650" t="n">
        <v>0</v>
      </c>
      <c r="L650" t="n">
        <v>0</v>
      </c>
      <c r="M650" t="n">
        <v>0</v>
      </c>
      <c r="N650" t="n">
        <v>0</v>
      </c>
      <c r="O650" t="n">
        <v>2</v>
      </c>
      <c r="P650" t="n">
        <v>0</v>
      </c>
      <c r="Q650" t="n">
        <v>4</v>
      </c>
      <c r="R650" s="2" t="inlineStr">
        <is>
          <t>Granticka
Violettgrå tagellav
Trådticka
Vågbandad barkbock</t>
        </is>
      </c>
      <c r="S650">
        <f>HYPERLINK("https://klasma.github.io/Logging_2480/artfynd/A 52764-2024 artfynd.xlsx", "A 52764-2024")</f>
        <v/>
      </c>
      <c r="T650">
        <f>HYPERLINK("https://klasma.github.io/Logging_2480/kartor/A 52764-2024 karta.png", "A 52764-2024")</f>
        <v/>
      </c>
      <c r="V650">
        <f>HYPERLINK("https://klasma.github.io/Logging_2480/klagomål/A 52764-2024 FSC-klagomål.docx", "A 52764-2024")</f>
        <v/>
      </c>
      <c r="W650">
        <f>HYPERLINK("https://klasma.github.io/Logging_2480/klagomålsmail/A 52764-2024 FSC-klagomål mail.docx", "A 52764-2024")</f>
        <v/>
      </c>
      <c r="X650">
        <f>HYPERLINK("https://klasma.github.io/Logging_2480/tillsyn/A 52764-2024 tillsynsbegäran.docx", "A 52764-2024")</f>
        <v/>
      </c>
      <c r="Y650">
        <f>HYPERLINK("https://klasma.github.io/Logging_2480/tillsynsmail/A 52764-2024 tillsynsbegäran mail.docx", "A 52764-2024")</f>
        <v/>
      </c>
    </row>
    <row r="651" ht="15" customHeight="1">
      <c r="A651" t="inlineStr">
        <is>
          <t>A 52891-2024</t>
        </is>
      </c>
      <c r="B651" s="1" t="n">
        <v>45610</v>
      </c>
      <c r="C651" s="1" t="n">
        <v>45718</v>
      </c>
      <c r="D651" t="inlineStr">
        <is>
          <t>VÄSTERBOTTENS LÄN</t>
        </is>
      </c>
      <c r="E651" t="inlineStr">
        <is>
          <t>LYCKSELE</t>
        </is>
      </c>
      <c r="F651" t="inlineStr">
        <is>
          <t>Holmen skog AB</t>
        </is>
      </c>
      <c r="G651" t="n">
        <v>5</v>
      </c>
      <c r="H651" t="n">
        <v>0</v>
      </c>
      <c r="I651" t="n">
        <v>1</v>
      </c>
      <c r="J651" t="n">
        <v>3</v>
      </c>
      <c r="K651" t="n">
        <v>0</v>
      </c>
      <c r="L651" t="n">
        <v>0</v>
      </c>
      <c r="M651" t="n">
        <v>0</v>
      </c>
      <c r="N651" t="n">
        <v>0</v>
      </c>
      <c r="O651" t="n">
        <v>3</v>
      </c>
      <c r="P651" t="n">
        <v>0</v>
      </c>
      <c r="Q651" t="n">
        <v>4</v>
      </c>
      <c r="R651" s="2" t="inlineStr">
        <is>
          <t>Garnlav
Granticka
Lunglav
Bårdlav</t>
        </is>
      </c>
      <c r="S651">
        <f>HYPERLINK("https://klasma.github.io/Logging_2481/artfynd/A 52891-2024 artfynd.xlsx", "A 52891-2024")</f>
        <v/>
      </c>
      <c r="T651">
        <f>HYPERLINK("https://klasma.github.io/Logging_2481/kartor/A 52891-2024 karta.png", "A 52891-2024")</f>
        <v/>
      </c>
      <c r="V651">
        <f>HYPERLINK("https://klasma.github.io/Logging_2481/klagomål/A 52891-2024 FSC-klagomål.docx", "A 52891-2024")</f>
        <v/>
      </c>
      <c r="W651">
        <f>HYPERLINK("https://klasma.github.io/Logging_2481/klagomålsmail/A 52891-2024 FSC-klagomål mail.docx", "A 52891-2024")</f>
        <v/>
      </c>
      <c r="X651">
        <f>HYPERLINK("https://klasma.github.io/Logging_2481/tillsyn/A 52891-2024 tillsynsbegäran.docx", "A 52891-2024")</f>
        <v/>
      </c>
      <c r="Y651">
        <f>HYPERLINK("https://klasma.github.io/Logging_2481/tillsynsmail/A 52891-2024 tillsynsbegäran mail.docx", "A 52891-2024")</f>
        <v/>
      </c>
    </row>
    <row r="652" ht="15" customHeight="1">
      <c r="A652" t="inlineStr">
        <is>
          <t>A 53094-2024</t>
        </is>
      </c>
      <c r="B652" s="1" t="n">
        <v>45611</v>
      </c>
      <c r="C652" s="1" t="n">
        <v>45718</v>
      </c>
      <c r="D652" t="inlineStr">
        <is>
          <t>VÄSTERBOTTENS LÄN</t>
        </is>
      </c>
      <c r="E652" t="inlineStr">
        <is>
          <t>LYCKSELE</t>
        </is>
      </c>
      <c r="F652" t="inlineStr">
        <is>
          <t>Sveaskog</t>
        </is>
      </c>
      <c r="G652" t="n">
        <v>5.4</v>
      </c>
      <c r="H652" t="n">
        <v>0</v>
      </c>
      <c r="I652" t="n">
        <v>0</v>
      </c>
      <c r="J652" t="n">
        <v>4</v>
      </c>
      <c r="K652" t="n">
        <v>0</v>
      </c>
      <c r="L652" t="n">
        <v>0</v>
      </c>
      <c r="M652" t="n">
        <v>0</v>
      </c>
      <c r="N652" t="n">
        <v>0</v>
      </c>
      <c r="O652" t="n">
        <v>4</v>
      </c>
      <c r="P652" t="n">
        <v>0</v>
      </c>
      <c r="Q652" t="n">
        <v>4</v>
      </c>
      <c r="R652" s="2" t="inlineStr">
        <is>
          <t>Blå taggsvamp
Kolflarnlav
Lunglav
Motaggsvamp</t>
        </is>
      </c>
      <c r="S652">
        <f>HYPERLINK("https://klasma.github.io/Logging_2481/artfynd/A 53094-2024 artfynd.xlsx", "A 53094-2024")</f>
        <v/>
      </c>
      <c r="T652">
        <f>HYPERLINK("https://klasma.github.io/Logging_2481/kartor/A 53094-2024 karta.png", "A 53094-2024")</f>
        <v/>
      </c>
      <c r="V652">
        <f>HYPERLINK("https://klasma.github.io/Logging_2481/klagomål/A 53094-2024 FSC-klagomål.docx", "A 53094-2024")</f>
        <v/>
      </c>
      <c r="W652">
        <f>HYPERLINK("https://klasma.github.io/Logging_2481/klagomålsmail/A 53094-2024 FSC-klagomål mail.docx", "A 53094-2024")</f>
        <v/>
      </c>
      <c r="X652">
        <f>HYPERLINK("https://klasma.github.io/Logging_2481/tillsyn/A 53094-2024 tillsynsbegäran.docx", "A 53094-2024")</f>
        <v/>
      </c>
      <c r="Y652">
        <f>HYPERLINK("https://klasma.github.io/Logging_2481/tillsynsmail/A 53094-2024 tillsynsbegäran mail.docx", "A 53094-2024")</f>
        <v/>
      </c>
    </row>
    <row r="653" ht="15" customHeight="1">
      <c r="A653" t="inlineStr">
        <is>
          <t>A 53423-2024</t>
        </is>
      </c>
      <c r="B653" s="1" t="n">
        <v>45614</v>
      </c>
      <c r="C653" s="1" t="n">
        <v>45718</v>
      </c>
      <c r="D653" t="inlineStr">
        <is>
          <t>VÄSTERBOTTENS LÄN</t>
        </is>
      </c>
      <c r="E653" t="inlineStr">
        <is>
          <t>SKELLEFTEÅ</t>
        </is>
      </c>
      <c r="G653" t="n">
        <v>3.5</v>
      </c>
      <c r="H653" t="n">
        <v>1</v>
      </c>
      <c r="I653" t="n">
        <v>0</v>
      </c>
      <c r="J653" t="n">
        <v>4</v>
      </c>
      <c r="K653" t="n">
        <v>0</v>
      </c>
      <c r="L653" t="n">
        <v>0</v>
      </c>
      <c r="M653" t="n">
        <v>0</v>
      </c>
      <c r="N653" t="n">
        <v>0</v>
      </c>
      <c r="O653" t="n">
        <v>4</v>
      </c>
      <c r="P653" t="n">
        <v>0</v>
      </c>
      <c r="Q653" t="n">
        <v>4</v>
      </c>
      <c r="R653" s="2" t="inlineStr">
        <is>
          <t>Blanksvart spiklav
Blå taggsvamp
Garnlav
Spillkråka</t>
        </is>
      </c>
      <c r="S653">
        <f>HYPERLINK("https://klasma.github.io/Logging_2482/artfynd/A 53423-2024 artfynd.xlsx", "A 53423-2024")</f>
        <v/>
      </c>
      <c r="T653">
        <f>HYPERLINK("https://klasma.github.io/Logging_2482/kartor/A 53423-2024 karta.png", "A 53423-2024")</f>
        <v/>
      </c>
      <c r="V653">
        <f>HYPERLINK("https://klasma.github.io/Logging_2482/klagomål/A 53423-2024 FSC-klagomål.docx", "A 53423-2024")</f>
        <v/>
      </c>
      <c r="W653">
        <f>HYPERLINK("https://klasma.github.io/Logging_2482/klagomålsmail/A 53423-2024 FSC-klagomål mail.docx", "A 53423-2024")</f>
        <v/>
      </c>
      <c r="X653">
        <f>HYPERLINK("https://klasma.github.io/Logging_2482/tillsyn/A 53423-2024 tillsynsbegäran.docx", "A 53423-2024")</f>
        <v/>
      </c>
      <c r="Y653">
        <f>HYPERLINK("https://klasma.github.io/Logging_2482/tillsynsmail/A 53423-2024 tillsynsbegäran mail.docx", "A 53423-2024")</f>
        <v/>
      </c>
      <c r="Z653">
        <f>HYPERLINK("https://klasma.github.io/Logging_2482/fåglar/A 53423-2024 prioriterade fågelarter.docx", "A 53423-2024")</f>
        <v/>
      </c>
    </row>
    <row r="654" ht="15" customHeight="1">
      <c r="A654" t="inlineStr">
        <is>
          <t>A 54905-2024</t>
        </is>
      </c>
      <c r="B654" s="1" t="n">
        <v>45618</v>
      </c>
      <c r="C654" s="1" t="n">
        <v>45718</v>
      </c>
      <c r="D654" t="inlineStr">
        <is>
          <t>VÄSTERBOTTENS LÄN</t>
        </is>
      </c>
      <c r="E654" t="inlineStr">
        <is>
          <t>LYCKSELE</t>
        </is>
      </c>
      <c r="F654" t="inlineStr">
        <is>
          <t>Sveaskog</t>
        </is>
      </c>
      <c r="G654" t="n">
        <v>2.2</v>
      </c>
      <c r="H654" t="n">
        <v>0</v>
      </c>
      <c r="I654" t="n">
        <v>1</v>
      </c>
      <c r="J654" t="n">
        <v>2</v>
      </c>
      <c r="K654" t="n">
        <v>1</v>
      </c>
      <c r="L654" t="n">
        <v>0</v>
      </c>
      <c r="M654" t="n">
        <v>0</v>
      </c>
      <c r="N654" t="n">
        <v>0</v>
      </c>
      <c r="O654" t="n">
        <v>3</v>
      </c>
      <c r="P654" t="n">
        <v>1</v>
      </c>
      <c r="Q654" t="n">
        <v>4</v>
      </c>
      <c r="R654" s="2" t="inlineStr">
        <is>
          <t>Fläckporing
Garnlav
Kolflarnlav
Dropptaggsvamp</t>
        </is>
      </c>
      <c r="S654">
        <f>HYPERLINK("https://klasma.github.io/Logging_2481/artfynd/A 54905-2024 artfynd.xlsx", "A 54905-2024")</f>
        <v/>
      </c>
      <c r="T654">
        <f>HYPERLINK("https://klasma.github.io/Logging_2481/kartor/A 54905-2024 karta.png", "A 54905-2024")</f>
        <v/>
      </c>
      <c r="V654">
        <f>HYPERLINK("https://klasma.github.io/Logging_2481/klagomål/A 54905-2024 FSC-klagomål.docx", "A 54905-2024")</f>
        <v/>
      </c>
      <c r="W654">
        <f>HYPERLINK("https://klasma.github.io/Logging_2481/klagomålsmail/A 54905-2024 FSC-klagomål mail.docx", "A 54905-2024")</f>
        <v/>
      </c>
      <c r="X654">
        <f>HYPERLINK("https://klasma.github.io/Logging_2481/tillsyn/A 54905-2024 tillsynsbegäran.docx", "A 54905-2024")</f>
        <v/>
      </c>
      <c r="Y654">
        <f>HYPERLINK("https://klasma.github.io/Logging_2481/tillsynsmail/A 54905-2024 tillsynsbegäran mail.docx", "A 54905-2024")</f>
        <v/>
      </c>
    </row>
    <row r="655" ht="15" customHeight="1">
      <c r="A655" t="inlineStr">
        <is>
          <t>A 55242-2024</t>
        </is>
      </c>
      <c r="B655" s="1" t="n">
        <v>45620</v>
      </c>
      <c r="C655" s="1" t="n">
        <v>45718</v>
      </c>
      <c r="D655" t="inlineStr">
        <is>
          <t>VÄSTERBOTTENS LÄN</t>
        </is>
      </c>
      <c r="E655" t="inlineStr">
        <is>
          <t>SKELLEFTEÅ</t>
        </is>
      </c>
      <c r="G655" t="n">
        <v>3.4</v>
      </c>
      <c r="H655" t="n">
        <v>0</v>
      </c>
      <c r="I655" t="n">
        <v>0</v>
      </c>
      <c r="J655" t="n">
        <v>3</v>
      </c>
      <c r="K655" t="n">
        <v>1</v>
      </c>
      <c r="L655" t="n">
        <v>0</v>
      </c>
      <c r="M655" t="n">
        <v>0</v>
      </c>
      <c r="N655" t="n">
        <v>0</v>
      </c>
      <c r="O655" t="n">
        <v>4</v>
      </c>
      <c r="P655" t="n">
        <v>1</v>
      </c>
      <c r="Q655" t="n">
        <v>4</v>
      </c>
      <c r="R655" s="2" t="inlineStr">
        <is>
          <t>Ostticka
Garnlav
Granticka
Ullticka</t>
        </is>
      </c>
      <c r="S655">
        <f>HYPERLINK("https://klasma.github.io/Logging_2482/artfynd/A 55242-2024 artfynd.xlsx", "A 55242-2024")</f>
        <v/>
      </c>
      <c r="T655">
        <f>HYPERLINK("https://klasma.github.io/Logging_2482/kartor/A 55242-2024 karta.png", "A 55242-2024")</f>
        <v/>
      </c>
      <c r="V655">
        <f>HYPERLINK("https://klasma.github.io/Logging_2482/klagomål/A 55242-2024 FSC-klagomål.docx", "A 55242-2024")</f>
        <v/>
      </c>
      <c r="W655">
        <f>HYPERLINK("https://klasma.github.io/Logging_2482/klagomålsmail/A 55242-2024 FSC-klagomål mail.docx", "A 55242-2024")</f>
        <v/>
      </c>
      <c r="X655">
        <f>HYPERLINK("https://klasma.github.io/Logging_2482/tillsyn/A 55242-2024 tillsynsbegäran.docx", "A 55242-2024")</f>
        <v/>
      </c>
      <c r="Y655">
        <f>HYPERLINK("https://klasma.github.io/Logging_2482/tillsynsmail/A 55242-2024 tillsynsbegäran mail.docx", "A 55242-2024")</f>
        <v/>
      </c>
    </row>
    <row r="656" ht="15" customHeight="1">
      <c r="A656" t="inlineStr">
        <is>
          <t>A 55235-2024</t>
        </is>
      </c>
      <c r="B656" s="1" t="n">
        <v>45620</v>
      </c>
      <c r="C656" s="1" t="n">
        <v>45718</v>
      </c>
      <c r="D656" t="inlineStr">
        <is>
          <t>VÄSTERBOTTENS LÄN</t>
        </is>
      </c>
      <c r="E656" t="inlineStr">
        <is>
          <t>SKELLEFTEÅ</t>
        </is>
      </c>
      <c r="G656" t="n">
        <v>0.9</v>
      </c>
      <c r="H656" t="n">
        <v>1</v>
      </c>
      <c r="I656" t="n">
        <v>1</v>
      </c>
      <c r="J656" t="n">
        <v>2</v>
      </c>
      <c r="K656" t="n">
        <v>1</v>
      </c>
      <c r="L656" t="n">
        <v>0</v>
      </c>
      <c r="M656" t="n">
        <v>0</v>
      </c>
      <c r="N656" t="n">
        <v>0</v>
      </c>
      <c r="O656" t="n">
        <v>3</v>
      </c>
      <c r="P656" t="n">
        <v>1</v>
      </c>
      <c r="Q656" t="n">
        <v>4</v>
      </c>
      <c r="R656" s="2" t="inlineStr">
        <is>
          <t>Doftticka
Barkporlav
Lunglav
Bårdlav</t>
        </is>
      </c>
      <c r="S656">
        <f>HYPERLINK("https://klasma.github.io/Logging_2482/artfynd/A 55235-2024 artfynd.xlsx", "A 55235-2024")</f>
        <v/>
      </c>
      <c r="T656">
        <f>HYPERLINK("https://klasma.github.io/Logging_2482/kartor/A 55235-2024 karta.png", "A 55235-2024")</f>
        <v/>
      </c>
      <c r="V656">
        <f>HYPERLINK("https://klasma.github.io/Logging_2482/klagomål/A 55235-2024 FSC-klagomål.docx", "A 55235-2024")</f>
        <v/>
      </c>
      <c r="W656">
        <f>HYPERLINK("https://klasma.github.io/Logging_2482/klagomålsmail/A 55235-2024 FSC-klagomål mail.docx", "A 55235-2024")</f>
        <v/>
      </c>
      <c r="X656">
        <f>HYPERLINK("https://klasma.github.io/Logging_2482/tillsyn/A 55235-2024 tillsynsbegäran.docx", "A 55235-2024")</f>
        <v/>
      </c>
      <c r="Y656">
        <f>HYPERLINK("https://klasma.github.io/Logging_2482/tillsynsmail/A 55235-2024 tillsynsbegäran mail.docx", "A 55235-2024")</f>
        <v/>
      </c>
    </row>
    <row r="657" ht="15" customHeight="1">
      <c r="A657" t="inlineStr">
        <is>
          <t>A 55825-2024</t>
        </is>
      </c>
      <c r="B657" s="1" t="n">
        <v>45623</v>
      </c>
      <c r="C657" s="1" t="n">
        <v>45718</v>
      </c>
      <c r="D657" t="inlineStr">
        <is>
          <t>VÄSTERBOTTENS LÄN</t>
        </is>
      </c>
      <c r="E657" t="inlineStr">
        <is>
          <t>LYCKSELE</t>
        </is>
      </c>
      <c r="G657" t="n">
        <v>7.1</v>
      </c>
      <c r="H657" t="n">
        <v>3</v>
      </c>
      <c r="I657" t="n">
        <v>0</v>
      </c>
      <c r="J657" t="n">
        <v>3</v>
      </c>
      <c r="K657" t="n">
        <v>0</v>
      </c>
      <c r="L657" t="n">
        <v>0</v>
      </c>
      <c r="M657" t="n">
        <v>0</v>
      </c>
      <c r="N657" t="n">
        <v>0</v>
      </c>
      <c r="O657" t="n">
        <v>3</v>
      </c>
      <c r="P657" t="n">
        <v>0</v>
      </c>
      <c r="Q657" t="n">
        <v>4</v>
      </c>
      <c r="R657" s="2" t="inlineStr">
        <is>
          <t>Kolflarnlav
Spillkråka
Tretåig hackspett
Revlummer</t>
        </is>
      </c>
      <c r="S657">
        <f>HYPERLINK("https://klasma.github.io/Logging_2481/artfynd/A 55825-2024 artfynd.xlsx", "A 55825-2024")</f>
        <v/>
      </c>
      <c r="T657">
        <f>HYPERLINK("https://klasma.github.io/Logging_2481/kartor/A 55825-2024 karta.png", "A 55825-2024")</f>
        <v/>
      </c>
      <c r="V657">
        <f>HYPERLINK("https://klasma.github.io/Logging_2481/klagomål/A 55825-2024 FSC-klagomål.docx", "A 55825-2024")</f>
        <v/>
      </c>
      <c r="W657">
        <f>HYPERLINK("https://klasma.github.io/Logging_2481/klagomålsmail/A 55825-2024 FSC-klagomål mail.docx", "A 55825-2024")</f>
        <v/>
      </c>
      <c r="X657">
        <f>HYPERLINK("https://klasma.github.io/Logging_2481/tillsyn/A 55825-2024 tillsynsbegäran.docx", "A 55825-2024")</f>
        <v/>
      </c>
      <c r="Y657">
        <f>HYPERLINK("https://klasma.github.io/Logging_2481/tillsynsmail/A 55825-2024 tillsynsbegäran mail.docx", "A 55825-2024")</f>
        <v/>
      </c>
      <c r="Z657">
        <f>HYPERLINK("https://klasma.github.io/Logging_2481/fåglar/A 55825-2024 prioriterade fågelarter.docx", "A 55825-2024")</f>
        <v/>
      </c>
    </row>
    <row r="658" ht="15" customHeight="1">
      <c r="A658" t="inlineStr">
        <is>
          <t>A 56462-2024</t>
        </is>
      </c>
      <c r="B658" s="1" t="n">
        <v>45625</v>
      </c>
      <c r="C658" s="1" t="n">
        <v>45718</v>
      </c>
      <c r="D658" t="inlineStr">
        <is>
          <t>VÄSTERBOTTENS LÄN</t>
        </is>
      </c>
      <c r="E658" t="inlineStr">
        <is>
          <t>SKELLEFTEÅ</t>
        </is>
      </c>
      <c r="F658" t="inlineStr">
        <is>
          <t>Holmen skog AB</t>
        </is>
      </c>
      <c r="G658" t="n">
        <v>44.8</v>
      </c>
      <c r="H658" t="n">
        <v>0</v>
      </c>
      <c r="I658" t="n">
        <v>0</v>
      </c>
      <c r="J658" t="n">
        <v>3</v>
      </c>
      <c r="K658" t="n">
        <v>0</v>
      </c>
      <c r="L658" t="n">
        <v>1</v>
      </c>
      <c r="M658" t="n">
        <v>0</v>
      </c>
      <c r="N658" t="n">
        <v>0</v>
      </c>
      <c r="O658" t="n">
        <v>4</v>
      </c>
      <c r="P658" t="n">
        <v>1</v>
      </c>
      <c r="Q658" t="n">
        <v>4</v>
      </c>
      <c r="R658" s="2" t="inlineStr">
        <is>
          <t>Större svartbagge
Korthornad ögonbagge
Rödhalsad vedsvampbagge
Svart ögonknäppare</t>
        </is>
      </c>
      <c r="S658">
        <f>HYPERLINK("https://klasma.github.io/Logging_2482/artfynd/A 56462-2024 artfynd.xlsx", "A 56462-2024")</f>
        <v/>
      </c>
      <c r="T658">
        <f>HYPERLINK("https://klasma.github.io/Logging_2482/kartor/A 56462-2024 karta.png", "A 56462-2024")</f>
        <v/>
      </c>
      <c r="V658">
        <f>HYPERLINK("https://klasma.github.io/Logging_2482/klagomål/A 56462-2024 FSC-klagomål.docx", "A 56462-2024")</f>
        <v/>
      </c>
      <c r="W658">
        <f>HYPERLINK("https://klasma.github.io/Logging_2482/klagomålsmail/A 56462-2024 FSC-klagomål mail.docx", "A 56462-2024")</f>
        <v/>
      </c>
      <c r="X658">
        <f>HYPERLINK("https://klasma.github.io/Logging_2482/tillsyn/A 56462-2024 tillsynsbegäran.docx", "A 56462-2024")</f>
        <v/>
      </c>
      <c r="Y658">
        <f>HYPERLINK("https://klasma.github.io/Logging_2482/tillsynsmail/A 56462-2024 tillsynsbegäran mail.docx", "A 56462-2024")</f>
        <v/>
      </c>
    </row>
    <row r="659" ht="15" customHeight="1">
      <c r="A659" t="inlineStr">
        <is>
          <t>A 60107-2024</t>
        </is>
      </c>
      <c r="B659" s="1" t="n">
        <v>45642</v>
      </c>
      <c r="C659" s="1" t="n">
        <v>45718</v>
      </c>
      <c r="D659" t="inlineStr">
        <is>
          <t>VÄSTERBOTTENS LÄN</t>
        </is>
      </c>
      <c r="E659" t="inlineStr">
        <is>
          <t>SKELLEFTEÅ</t>
        </is>
      </c>
      <c r="G659" t="n">
        <v>11.7</v>
      </c>
      <c r="H659" t="n">
        <v>2</v>
      </c>
      <c r="I659" t="n">
        <v>0</v>
      </c>
      <c r="J659" t="n">
        <v>4</v>
      </c>
      <c r="K659" t="n">
        <v>0</v>
      </c>
      <c r="L659" t="n">
        <v>0</v>
      </c>
      <c r="M659" t="n">
        <v>0</v>
      </c>
      <c r="N659" t="n">
        <v>0</v>
      </c>
      <c r="O659" t="n">
        <v>4</v>
      </c>
      <c r="P659" t="n">
        <v>0</v>
      </c>
      <c r="Q659" t="n">
        <v>4</v>
      </c>
      <c r="R659" s="2" t="inlineStr">
        <is>
          <t>Granticka
Spillkråka
Stjärntagging
Tretåig hackspett</t>
        </is>
      </c>
      <c r="S659">
        <f>HYPERLINK("https://klasma.github.io/Logging_2482/artfynd/A 60107-2024 artfynd.xlsx", "A 60107-2024")</f>
        <v/>
      </c>
      <c r="T659">
        <f>HYPERLINK("https://klasma.github.io/Logging_2482/kartor/A 60107-2024 karta.png", "A 60107-2024")</f>
        <v/>
      </c>
      <c r="V659">
        <f>HYPERLINK("https://klasma.github.io/Logging_2482/klagomål/A 60107-2024 FSC-klagomål.docx", "A 60107-2024")</f>
        <v/>
      </c>
      <c r="W659">
        <f>HYPERLINK("https://klasma.github.io/Logging_2482/klagomålsmail/A 60107-2024 FSC-klagomål mail.docx", "A 60107-2024")</f>
        <v/>
      </c>
      <c r="X659">
        <f>HYPERLINK("https://klasma.github.io/Logging_2482/tillsyn/A 60107-2024 tillsynsbegäran.docx", "A 60107-2024")</f>
        <v/>
      </c>
      <c r="Y659">
        <f>HYPERLINK("https://klasma.github.io/Logging_2482/tillsynsmail/A 60107-2024 tillsynsbegäran mail.docx", "A 60107-2024")</f>
        <v/>
      </c>
      <c r="Z659">
        <f>HYPERLINK("https://klasma.github.io/Logging_2482/fåglar/A 60107-2024 prioriterade fågelarter.docx", "A 60107-2024")</f>
        <v/>
      </c>
    </row>
    <row r="660" ht="15" customHeight="1">
      <c r="A660" t="inlineStr">
        <is>
          <t>A 924-2025</t>
        </is>
      </c>
      <c r="B660" s="1" t="n">
        <v>45665</v>
      </c>
      <c r="C660" s="1" t="n">
        <v>45718</v>
      </c>
      <c r="D660" t="inlineStr">
        <is>
          <t>VÄSTERBOTTENS LÄN</t>
        </is>
      </c>
      <c r="E660" t="inlineStr">
        <is>
          <t>SKELLEFTEÅ</t>
        </is>
      </c>
      <c r="G660" t="n">
        <v>21.6</v>
      </c>
      <c r="H660" t="n">
        <v>1</v>
      </c>
      <c r="I660" t="n">
        <v>0</v>
      </c>
      <c r="J660" t="n">
        <v>3</v>
      </c>
      <c r="K660" t="n">
        <v>1</v>
      </c>
      <c r="L660" t="n">
        <v>0</v>
      </c>
      <c r="M660" t="n">
        <v>0</v>
      </c>
      <c r="N660" t="n">
        <v>0</v>
      </c>
      <c r="O660" t="n">
        <v>4</v>
      </c>
      <c r="P660" t="n">
        <v>1</v>
      </c>
      <c r="Q660" t="n">
        <v>4</v>
      </c>
      <c r="R660" s="2" t="inlineStr">
        <is>
          <t>Knärot
Gammelgransskål
Rosenticka
Ullticka</t>
        </is>
      </c>
      <c r="S660">
        <f>HYPERLINK("https://klasma.github.io/Logging_2482/artfynd/A 924-2025 artfynd.xlsx", "A 924-2025")</f>
        <v/>
      </c>
      <c r="T660">
        <f>HYPERLINK("https://klasma.github.io/Logging_2482/kartor/A 924-2025 karta.png", "A 924-2025")</f>
        <v/>
      </c>
      <c r="U660">
        <f>HYPERLINK("https://klasma.github.io/Logging_2482/knärot/A 924-2025 karta knärot.png", "A 924-2025")</f>
        <v/>
      </c>
      <c r="V660">
        <f>HYPERLINK("https://klasma.github.io/Logging_2482/klagomål/A 924-2025 FSC-klagomål.docx", "A 924-2025")</f>
        <v/>
      </c>
      <c r="W660">
        <f>HYPERLINK("https://klasma.github.io/Logging_2482/klagomålsmail/A 924-2025 FSC-klagomål mail.docx", "A 924-2025")</f>
        <v/>
      </c>
      <c r="X660">
        <f>HYPERLINK("https://klasma.github.io/Logging_2482/tillsyn/A 924-2025 tillsynsbegäran.docx", "A 924-2025")</f>
        <v/>
      </c>
      <c r="Y660">
        <f>HYPERLINK("https://klasma.github.io/Logging_2482/tillsynsmail/A 924-2025 tillsynsbegäran mail.docx", "A 924-2025")</f>
        <v/>
      </c>
    </row>
    <row r="661" ht="15" customHeight="1">
      <c r="A661" t="inlineStr">
        <is>
          <t>A 2643-2025</t>
        </is>
      </c>
      <c r="B661" s="1" t="n">
        <v>45676</v>
      </c>
      <c r="C661" s="1" t="n">
        <v>45718</v>
      </c>
      <c r="D661" t="inlineStr">
        <is>
          <t>VÄSTERBOTTENS LÄN</t>
        </is>
      </c>
      <c r="E661" t="inlineStr">
        <is>
          <t>UMEÅ</t>
        </is>
      </c>
      <c r="F661" t="inlineStr">
        <is>
          <t>Övriga Aktiebolag</t>
        </is>
      </c>
      <c r="G661" t="n">
        <v>12.6</v>
      </c>
      <c r="H661" t="n">
        <v>0</v>
      </c>
      <c r="I661" t="n">
        <v>1</v>
      </c>
      <c r="J661" t="n">
        <v>3</v>
      </c>
      <c r="K661" t="n">
        <v>0</v>
      </c>
      <c r="L661" t="n">
        <v>0</v>
      </c>
      <c r="M661" t="n">
        <v>0</v>
      </c>
      <c r="N661" t="n">
        <v>0</v>
      </c>
      <c r="O661" t="n">
        <v>3</v>
      </c>
      <c r="P661" t="n">
        <v>0</v>
      </c>
      <c r="Q661" t="n">
        <v>4</v>
      </c>
      <c r="R661" s="2" t="inlineStr">
        <is>
          <t>Garnlav
Kolflarnlav
Ullticka
Dropptaggsvamp</t>
        </is>
      </c>
      <c r="S661">
        <f>HYPERLINK("https://klasma.github.io/Logging_2480/artfynd/A 2643-2025 artfynd.xlsx", "A 2643-2025")</f>
        <v/>
      </c>
      <c r="T661">
        <f>HYPERLINK("https://klasma.github.io/Logging_2480/kartor/A 2643-2025 karta.png", "A 2643-2025")</f>
        <v/>
      </c>
      <c r="V661">
        <f>HYPERLINK("https://klasma.github.io/Logging_2480/klagomål/A 2643-2025 FSC-klagomål.docx", "A 2643-2025")</f>
        <v/>
      </c>
      <c r="W661">
        <f>HYPERLINK("https://klasma.github.io/Logging_2480/klagomålsmail/A 2643-2025 FSC-klagomål mail.docx", "A 2643-2025")</f>
        <v/>
      </c>
      <c r="X661">
        <f>HYPERLINK("https://klasma.github.io/Logging_2480/tillsyn/A 2643-2025 tillsynsbegäran.docx", "A 2643-2025")</f>
        <v/>
      </c>
      <c r="Y661">
        <f>HYPERLINK("https://klasma.github.io/Logging_2480/tillsynsmail/A 2643-2025 tillsynsbegäran mail.docx", "A 2643-2025")</f>
        <v/>
      </c>
    </row>
    <row r="662" ht="15" customHeight="1">
      <c r="A662" t="inlineStr">
        <is>
          <t>A 9268-2025</t>
        </is>
      </c>
      <c r="B662" s="1" t="n">
        <v>45714</v>
      </c>
      <c r="C662" s="1" t="n">
        <v>45718</v>
      </c>
      <c r="D662" t="inlineStr">
        <is>
          <t>VÄSTERBOTTENS LÄN</t>
        </is>
      </c>
      <c r="E662" t="inlineStr">
        <is>
          <t>VILHELMINA</t>
        </is>
      </c>
      <c r="G662" t="n">
        <v>9.199999999999999</v>
      </c>
      <c r="H662" t="n">
        <v>0</v>
      </c>
      <c r="I662" t="n">
        <v>0</v>
      </c>
      <c r="J662" t="n">
        <v>4</v>
      </c>
      <c r="K662" t="n">
        <v>0</v>
      </c>
      <c r="L662" t="n">
        <v>0</v>
      </c>
      <c r="M662" t="n">
        <v>0</v>
      </c>
      <c r="N662" t="n">
        <v>0</v>
      </c>
      <c r="O662" t="n">
        <v>4</v>
      </c>
      <c r="P662" t="n">
        <v>0</v>
      </c>
      <c r="Q662" t="n">
        <v>4</v>
      </c>
      <c r="R662" s="2" t="inlineStr">
        <is>
          <t>Gammelgransskål
Granticka
Lunglav
Skrovellav</t>
        </is>
      </c>
      <c r="S662">
        <f>HYPERLINK("https://klasma.github.io/Logging_2462/artfynd/A 9268-2025 artfynd.xlsx", "A 9268-2025")</f>
        <v/>
      </c>
      <c r="T662">
        <f>HYPERLINK("https://klasma.github.io/Logging_2462/kartor/A 9268-2025 karta.png", "A 9268-2025")</f>
        <v/>
      </c>
      <c r="V662">
        <f>HYPERLINK("https://klasma.github.io/Logging_2462/klagomål/A 9268-2025 FSC-klagomål.docx", "A 9268-2025")</f>
        <v/>
      </c>
      <c r="W662">
        <f>HYPERLINK("https://klasma.github.io/Logging_2462/klagomålsmail/A 9268-2025 FSC-klagomål mail.docx", "A 9268-2025")</f>
        <v/>
      </c>
      <c r="X662">
        <f>HYPERLINK("https://klasma.github.io/Logging_2462/tillsyn/A 9268-2025 tillsynsbegäran.docx", "A 9268-2025")</f>
        <v/>
      </c>
      <c r="Y662">
        <f>HYPERLINK("https://klasma.github.io/Logging_2462/tillsynsmail/A 9268-2025 tillsynsbegäran mail.docx", "A 9268-2025")</f>
        <v/>
      </c>
    </row>
    <row r="663" ht="15" customHeight="1">
      <c r="A663" t="inlineStr">
        <is>
          <t>A 18981-2019</t>
        </is>
      </c>
      <c r="B663" s="1" t="n">
        <v>43563</v>
      </c>
      <c r="C663" s="1" t="n">
        <v>45718</v>
      </c>
      <c r="D663" t="inlineStr">
        <is>
          <t>VÄSTERBOTTENS LÄN</t>
        </is>
      </c>
      <c r="E663" t="inlineStr">
        <is>
          <t>VINDELN</t>
        </is>
      </c>
      <c r="G663" t="n">
        <v>5</v>
      </c>
      <c r="H663" t="n">
        <v>0</v>
      </c>
      <c r="I663" t="n">
        <v>0</v>
      </c>
      <c r="J663" t="n">
        <v>3</v>
      </c>
      <c r="K663" t="n">
        <v>0</v>
      </c>
      <c r="L663" t="n">
        <v>0</v>
      </c>
      <c r="M663" t="n">
        <v>0</v>
      </c>
      <c r="N663" t="n">
        <v>0</v>
      </c>
      <c r="O663" t="n">
        <v>3</v>
      </c>
      <c r="P663" t="n">
        <v>0</v>
      </c>
      <c r="Q663" t="n">
        <v>3</v>
      </c>
      <c r="R663" s="2" t="inlineStr">
        <is>
          <t>Granticka
Lunglav
Ullticka</t>
        </is>
      </c>
      <c r="S663">
        <f>HYPERLINK("https://klasma.github.io/Logging_2404/artfynd/A 18981-2019 artfynd.xlsx", "A 18981-2019")</f>
        <v/>
      </c>
      <c r="T663">
        <f>HYPERLINK("https://klasma.github.io/Logging_2404/kartor/A 18981-2019 karta.png", "A 18981-2019")</f>
        <v/>
      </c>
      <c r="V663">
        <f>HYPERLINK("https://klasma.github.io/Logging_2404/klagomål/A 18981-2019 FSC-klagomål.docx", "A 18981-2019")</f>
        <v/>
      </c>
      <c r="W663">
        <f>HYPERLINK("https://klasma.github.io/Logging_2404/klagomålsmail/A 18981-2019 FSC-klagomål mail.docx", "A 18981-2019")</f>
        <v/>
      </c>
      <c r="X663">
        <f>HYPERLINK("https://klasma.github.io/Logging_2404/tillsyn/A 18981-2019 tillsynsbegäran.docx", "A 18981-2019")</f>
        <v/>
      </c>
      <c r="Y663">
        <f>HYPERLINK("https://klasma.github.io/Logging_2404/tillsynsmail/A 18981-2019 tillsynsbegäran mail.docx", "A 18981-2019")</f>
        <v/>
      </c>
    </row>
    <row r="664" ht="15" customHeight="1">
      <c r="A664" t="inlineStr">
        <is>
          <t>A 34201-2019</t>
        </is>
      </c>
      <c r="B664" s="1" t="n">
        <v>43655</v>
      </c>
      <c r="C664" s="1" t="n">
        <v>45718</v>
      </c>
      <c r="D664" t="inlineStr">
        <is>
          <t>VÄSTERBOTTENS LÄN</t>
        </is>
      </c>
      <c r="E664" t="inlineStr">
        <is>
          <t>STORUMAN</t>
        </is>
      </c>
      <c r="G664" t="n">
        <v>32</v>
      </c>
      <c r="H664" t="n">
        <v>0</v>
      </c>
      <c r="I664" t="n">
        <v>0</v>
      </c>
      <c r="J664" t="n">
        <v>2</v>
      </c>
      <c r="K664" t="n">
        <v>1</v>
      </c>
      <c r="L664" t="n">
        <v>0</v>
      </c>
      <c r="M664" t="n">
        <v>0</v>
      </c>
      <c r="N664" t="n">
        <v>0</v>
      </c>
      <c r="O664" t="n">
        <v>3</v>
      </c>
      <c r="P664" t="n">
        <v>1</v>
      </c>
      <c r="Q664" t="n">
        <v>3</v>
      </c>
      <c r="R664" s="2" t="inlineStr">
        <is>
          <t>Smalfotad taggsvamp
Nordtagging
Rosenticka</t>
        </is>
      </c>
      <c r="S664">
        <f>HYPERLINK("https://klasma.github.io/Logging_2421/artfynd/A 34201-2019 artfynd.xlsx", "A 34201-2019")</f>
        <v/>
      </c>
      <c r="T664">
        <f>HYPERLINK("https://klasma.github.io/Logging_2421/kartor/A 34201-2019 karta.png", "A 34201-2019")</f>
        <v/>
      </c>
      <c r="V664">
        <f>HYPERLINK("https://klasma.github.io/Logging_2421/klagomål/A 34201-2019 FSC-klagomål.docx", "A 34201-2019")</f>
        <v/>
      </c>
      <c r="W664">
        <f>HYPERLINK("https://klasma.github.io/Logging_2421/klagomålsmail/A 34201-2019 FSC-klagomål mail.docx", "A 34201-2019")</f>
        <v/>
      </c>
      <c r="X664">
        <f>HYPERLINK("https://klasma.github.io/Logging_2421/tillsyn/A 34201-2019 tillsynsbegäran.docx", "A 34201-2019")</f>
        <v/>
      </c>
      <c r="Y664">
        <f>HYPERLINK("https://klasma.github.io/Logging_2421/tillsynsmail/A 34201-2019 tillsynsbegäran mail.docx", "A 34201-2019")</f>
        <v/>
      </c>
    </row>
    <row r="665" ht="15" customHeight="1">
      <c r="A665" t="inlineStr">
        <is>
          <t>A 35777-2019</t>
        </is>
      </c>
      <c r="B665" s="1" t="n">
        <v>43665</v>
      </c>
      <c r="C665" s="1" t="n">
        <v>45718</v>
      </c>
      <c r="D665" t="inlineStr">
        <is>
          <t>VÄSTERBOTTENS LÄN</t>
        </is>
      </c>
      <c r="E665" t="inlineStr">
        <is>
          <t>SKELLEFTEÅ</t>
        </is>
      </c>
      <c r="F665" t="inlineStr">
        <is>
          <t>Holmen skog AB</t>
        </is>
      </c>
      <c r="G665" t="n">
        <v>26.8</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35777-2019 artfynd.xlsx", "A 35777-2019")</f>
        <v/>
      </c>
      <c r="T665">
        <f>HYPERLINK("https://klasma.github.io/Logging_2482/kartor/A 35777-2019 karta.png", "A 35777-2019")</f>
        <v/>
      </c>
      <c r="V665">
        <f>HYPERLINK("https://klasma.github.io/Logging_2482/klagomål/A 35777-2019 FSC-klagomål.docx", "A 35777-2019")</f>
        <v/>
      </c>
      <c r="W665">
        <f>HYPERLINK("https://klasma.github.io/Logging_2482/klagomålsmail/A 35777-2019 FSC-klagomål mail.docx", "A 35777-2019")</f>
        <v/>
      </c>
      <c r="X665">
        <f>HYPERLINK("https://klasma.github.io/Logging_2482/tillsyn/A 35777-2019 tillsynsbegäran.docx", "A 35777-2019")</f>
        <v/>
      </c>
      <c r="Y665">
        <f>HYPERLINK("https://klasma.github.io/Logging_2482/tillsynsmail/A 35777-2019 tillsynsbegäran mail.docx", "A 35777-2019")</f>
        <v/>
      </c>
    </row>
    <row r="666" ht="15" customHeight="1">
      <c r="A666" t="inlineStr">
        <is>
          <t>A 45239-2019</t>
        </is>
      </c>
      <c r="B666" s="1" t="n">
        <v>43713</v>
      </c>
      <c r="C666" s="1" t="n">
        <v>45718</v>
      </c>
      <c r="D666" t="inlineStr">
        <is>
          <t>VÄSTERBOTTENS LÄN</t>
        </is>
      </c>
      <c r="E666" t="inlineStr">
        <is>
          <t>STORUMAN</t>
        </is>
      </c>
      <c r="G666" t="n">
        <v>9.5</v>
      </c>
      <c r="H666" t="n">
        <v>0</v>
      </c>
      <c r="I666" t="n">
        <v>1</v>
      </c>
      <c r="J666" t="n">
        <v>2</v>
      </c>
      <c r="K666" t="n">
        <v>0</v>
      </c>
      <c r="L666" t="n">
        <v>0</v>
      </c>
      <c r="M666" t="n">
        <v>0</v>
      </c>
      <c r="N666" t="n">
        <v>0</v>
      </c>
      <c r="O666" t="n">
        <v>2</v>
      </c>
      <c r="P666" t="n">
        <v>0</v>
      </c>
      <c r="Q666" t="n">
        <v>3</v>
      </c>
      <c r="R666" s="2" t="inlineStr">
        <is>
          <t>Dvärgbägarlav
Vedflamlav
Dropptaggsvamp</t>
        </is>
      </c>
      <c r="S666">
        <f>HYPERLINK("https://klasma.github.io/Logging_2421/artfynd/A 45239-2019 artfynd.xlsx", "A 45239-2019")</f>
        <v/>
      </c>
      <c r="T666">
        <f>HYPERLINK("https://klasma.github.io/Logging_2421/kartor/A 45239-2019 karta.png", "A 45239-2019")</f>
        <v/>
      </c>
      <c r="V666">
        <f>HYPERLINK("https://klasma.github.io/Logging_2421/klagomål/A 45239-2019 FSC-klagomål.docx", "A 45239-2019")</f>
        <v/>
      </c>
      <c r="W666">
        <f>HYPERLINK("https://klasma.github.io/Logging_2421/klagomålsmail/A 45239-2019 FSC-klagomål mail.docx", "A 45239-2019")</f>
        <v/>
      </c>
      <c r="X666">
        <f>HYPERLINK("https://klasma.github.io/Logging_2421/tillsyn/A 45239-2019 tillsynsbegäran.docx", "A 45239-2019")</f>
        <v/>
      </c>
      <c r="Y666">
        <f>HYPERLINK("https://klasma.github.io/Logging_2421/tillsynsmail/A 45239-2019 tillsynsbegäran mail.docx", "A 45239-2019")</f>
        <v/>
      </c>
    </row>
    <row r="667" ht="15" customHeight="1">
      <c r="A667" t="inlineStr">
        <is>
          <t>A 50902-2019</t>
        </is>
      </c>
      <c r="B667" s="1" t="n">
        <v>43738</v>
      </c>
      <c r="C667" s="1" t="n">
        <v>45718</v>
      </c>
      <c r="D667" t="inlineStr">
        <is>
          <t>VÄSTERBOTTENS LÄN</t>
        </is>
      </c>
      <c r="E667" t="inlineStr">
        <is>
          <t>ÅSELE</t>
        </is>
      </c>
      <c r="F667" t="inlineStr">
        <is>
          <t>Sveaskog</t>
        </is>
      </c>
      <c r="G667" t="n">
        <v>1.1</v>
      </c>
      <c r="H667" t="n">
        <v>0</v>
      </c>
      <c r="I667" t="n">
        <v>0</v>
      </c>
      <c r="J667" t="n">
        <v>3</v>
      </c>
      <c r="K667" t="n">
        <v>0</v>
      </c>
      <c r="L667" t="n">
        <v>0</v>
      </c>
      <c r="M667" t="n">
        <v>0</v>
      </c>
      <c r="N667" t="n">
        <v>0</v>
      </c>
      <c r="O667" t="n">
        <v>3</v>
      </c>
      <c r="P667" t="n">
        <v>0</v>
      </c>
      <c r="Q667" t="n">
        <v>3</v>
      </c>
      <c r="R667" s="2" t="inlineStr">
        <is>
          <t>Blanksvart spiklav
Dvärgbägarlav
Vedflamlav</t>
        </is>
      </c>
      <c r="S667">
        <f>HYPERLINK("https://klasma.github.io/Logging_2463/artfynd/A 50902-2019 artfynd.xlsx", "A 50902-2019")</f>
        <v/>
      </c>
      <c r="T667">
        <f>HYPERLINK("https://klasma.github.io/Logging_2463/kartor/A 50902-2019 karta.png", "A 50902-2019")</f>
        <v/>
      </c>
      <c r="V667">
        <f>HYPERLINK("https://klasma.github.io/Logging_2463/klagomål/A 50902-2019 FSC-klagomål.docx", "A 50902-2019")</f>
        <v/>
      </c>
      <c r="W667">
        <f>HYPERLINK("https://klasma.github.io/Logging_2463/klagomålsmail/A 50902-2019 FSC-klagomål mail.docx", "A 50902-2019")</f>
        <v/>
      </c>
      <c r="X667">
        <f>HYPERLINK("https://klasma.github.io/Logging_2463/tillsyn/A 50902-2019 tillsynsbegäran.docx", "A 50902-2019")</f>
        <v/>
      </c>
      <c r="Y667">
        <f>HYPERLINK("https://klasma.github.io/Logging_2463/tillsynsmail/A 50902-2019 tillsynsbegäran mail.docx", "A 50902-2019")</f>
        <v/>
      </c>
    </row>
    <row r="668" ht="15" customHeight="1">
      <c r="A668" t="inlineStr">
        <is>
          <t>A 50909-2019</t>
        </is>
      </c>
      <c r="B668" s="1" t="n">
        <v>43738</v>
      </c>
      <c r="C668" s="1" t="n">
        <v>45718</v>
      </c>
      <c r="D668" t="inlineStr">
        <is>
          <t>VÄSTERBOTTENS LÄN</t>
        </is>
      </c>
      <c r="E668" t="inlineStr">
        <is>
          <t>ÅSELE</t>
        </is>
      </c>
      <c r="F668" t="inlineStr">
        <is>
          <t>Sveaskog</t>
        </is>
      </c>
      <c r="G668" t="n">
        <v>3.6</v>
      </c>
      <c r="H668" t="n">
        <v>1</v>
      </c>
      <c r="I668" t="n">
        <v>0</v>
      </c>
      <c r="J668" t="n">
        <v>3</v>
      </c>
      <c r="K668" t="n">
        <v>0</v>
      </c>
      <c r="L668" t="n">
        <v>0</v>
      </c>
      <c r="M668" t="n">
        <v>0</v>
      </c>
      <c r="N668" t="n">
        <v>0</v>
      </c>
      <c r="O668" t="n">
        <v>3</v>
      </c>
      <c r="P668" t="n">
        <v>0</v>
      </c>
      <c r="Q668" t="n">
        <v>3</v>
      </c>
      <c r="R668" s="2" t="inlineStr">
        <is>
          <t>Blanksvart spiklav
Blågrå svartspik
Tretåig hackspett</t>
        </is>
      </c>
      <c r="S668">
        <f>HYPERLINK("https://klasma.github.io/Logging_2463/artfynd/A 50909-2019 artfynd.xlsx", "A 50909-2019")</f>
        <v/>
      </c>
      <c r="T668">
        <f>HYPERLINK("https://klasma.github.io/Logging_2463/kartor/A 50909-2019 karta.png", "A 50909-2019")</f>
        <v/>
      </c>
      <c r="V668">
        <f>HYPERLINK("https://klasma.github.io/Logging_2463/klagomål/A 50909-2019 FSC-klagomål.docx", "A 50909-2019")</f>
        <v/>
      </c>
      <c r="W668">
        <f>HYPERLINK("https://klasma.github.io/Logging_2463/klagomålsmail/A 50909-2019 FSC-klagomål mail.docx", "A 50909-2019")</f>
        <v/>
      </c>
      <c r="X668">
        <f>HYPERLINK("https://klasma.github.io/Logging_2463/tillsyn/A 50909-2019 tillsynsbegäran.docx", "A 50909-2019")</f>
        <v/>
      </c>
      <c r="Y668">
        <f>HYPERLINK("https://klasma.github.io/Logging_2463/tillsynsmail/A 50909-2019 tillsynsbegäran mail.docx", "A 50909-2019")</f>
        <v/>
      </c>
      <c r="Z668">
        <f>HYPERLINK("https://klasma.github.io/Logging_2463/fåglar/A 50909-2019 prioriterade fågelarter.docx", "A 50909-2019")</f>
        <v/>
      </c>
    </row>
    <row r="669" ht="15" customHeight="1">
      <c r="A669" t="inlineStr">
        <is>
          <t>A 54111-2019</t>
        </is>
      </c>
      <c r="B669" s="1" t="n">
        <v>43752</v>
      </c>
      <c r="C669" s="1" t="n">
        <v>45718</v>
      </c>
      <c r="D669" t="inlineStr">
        <is>
          <t>VÄSTERBOTTENS LÄN</t>
        </is>
      </c>
      <c r="E669" t="inlineStr">
        <is>
          <t>SKELLEFTEÅ</t>
        </is>
      </c>
      <c r="F669" t="inlineStr">
        <is>
          <t>Sveaskog</t>
        </is>
      </c>
      <c r="G669" t="n">
        <v>30.6</v>
      </c>
      <c r="H669" t="n">
        <v>0</v>
      </c>
      <c r="I669" t="n">
        <v>1</v>
      </c>
      <c r="J669" t="n">
        <v>2</v>
      </c>
      <c r="K669" t="n">
        <v>0</v>
      </c>
      <c r="L669" t="n">
        <v>0</v>
      </c>
      <c r="M669" t="n">
        <v>0</v>
      </c>
      <c r="N669" t="n">
        <v>0</v>
      </c>
      <c r="O669" t="n">
        <v>2</v>
      </c>
      <c r="P669" t="n">
        <v>0</v>
      </c>
      <c r="Q669" t="n">
        <v>3</v>
      </c>
      <c r="R669" s="2" t="inlineStr">
        <is>
          <t>Kolflarnlav
Vedskivlav
Skarp dropptaggsvamp</t>
        </is>
      </c>
      <c r="S669">
        <f>HYPERLINK("https://klasma.github.io/Logging_2482/artfynd/A 54111-2019 artfynd.xlsx", "A 54111-2019")</f>
        <v/>
      </c>
      <c r="T669">
        <f>HYPERLINK("https://klasma.github.io/Logging_2482/kartor/A 54111-2019 karta.png", "A 54111-2019")</f>
        <v/>
      </c>
      <c r="V669">
        <f>HYPERLINK("https://klasma.github.io/Logging_2482/klagomål/A 54111-2019 FSC-klagomål.docx", "A 54111-2019")</f>
        <v/>
      </c>
      <c r="W669">
        <f>HYPERLINK("https://klasma.github.io/Logging_2482/klagomålsmail/A 54111-2019 FSC-klagomål mail.docx", "A 54111-2019")</f>
        <v/>
      </c>
      <c r="X669">
        <f>HYPERLINK("https://klasma.github.io/Logging_2482/tillsyn/A 54111-2019 tillsynsbegäran.docx", "A 54111-2019")</f>
        <v/>
      </c>
      <c r="Y669">
        <f>HYPERLINK("https://klasma.github.io/Logging_2482/tillsynsmail/A 54111-2019 tillsynsbegäran mail.docx", "A 54111-2019")</f>
        <v/>
      </c>
    </row>
    <row r="670" ht="15" customHeight="1">
      <c r="A670" t="inlineStr">
        <is>
          <t>A 56885-2019</t>
        </is>
      </c>
      <c r="B670" s="1" t="n">
        <v>43766</v>
      </c>
      <c r="C670" s="1" t="n">
        <v>45718</v>
      </c>
      <c r="D670" t="inlineStr">
        <is>
          <t>VÄSTERBOTTENS LÄN</t>
        </is>
      </c>
      <c r="E670" t="inlineStr">
        <is>
          <t>STORUMAN</t>
        </is>
      </c>
      <c r="F670" t="inlineStr">
        <is>
          <t>Sveaskog</t>
        </is>
      </c>
      <c r="G670" t="n">
        <v>9.800000000000001</v>
      </c>
      <c r="H670" t="n">
        <v>0</v>
      </c>
      <c r="I670" t="n">
        <v>1</v>
      </c>
      <c r="J670" t="n">
        <v>2</v>
      </c>
      <c r="K670" t="n">
        <v>0</v>
      </c>
      <c r="L670" t="n">
        <v>0</v>
      </c>
      <c r="M670" t="n">
        <v>0</v>
      </c>
      <c r="N670" t="n">
        <v>0</v>
      </c>
      <c r="O670" t="n">
        <v>2</v>
      </c>
      <c r="P670" t="n">
        <v>0</v>
      </c>
      <c r="Q670" t="n">
        <v>3</v>
      </c>
      <c r="R670" s="2" t="inlineStr">
        <is>
          <t>Gammelgransskål
Garnlav
Luddlav</t>
        </is>
      </c>
      <c r="S670">
        <f>HYPERLINK("https://klasma.github.io/Logging_2421/artfynd/A 56885-2019 artfynd.xlsx", "A 56885-2019")</f>
        <v/>
      </c>
      <c r="T670">
        <f>HYPERLINK("https://klasma.github.io/Logging_2421/kartor/A 56885-2019 karta.png", "A 56885-2019")</f>
        <v/>
      </c>
      <c r="V670">
        <f>HYPERLINK("https://klasma.github.io/Logging_2421/klagomål/A 56885-2019 FSC-klagomål.docx", "A 56885-2019")</f>
        <v/>
      </c>
      <c r="W670">
        <f>HYPERLINK("https://klasma.github.io/Logging_2421/klagomålsmail/A 56885-2019 FSC-klagomål mail.docx", "A 56885-2019")</f>
        <v/>
      </c>
      <c r="X670">
        <f>HYPERLINK("https://klasma.github.io/Logging_2421/tillsyn/A 56885-2019 tillsynsbegäran.docx", "A 56885-2019")</f>
        <v/>
      </c>
      <c r="Y670">
        <f>HYPERLINK("https://klasma.github.io/Logging_2421/tillsynsmail/A 56885-2019 tillsynsbegäran mail.docx", "A 56885-2019")</f>
        <v/>
      </c>
    </row>
    <row r="671" ht="15" customHeight="1">
      <c r="A671" t="inlineStr">
        <is>
          <t>A 57209-2019</t>
        </is>
      </c>
      <c r="B671" s="1" t="n">
        <v>43767</v>
      </c>
      <c r="C671" s="1" t="n">
        <v>45718</v>
      </c>
      <c r="D671" t="inlineStr">
        <is>
          <t>VÄSTERBOTTENS LÄN</t>
        </is>
      </c>
      <c r="E671" t="inlineStr">
        <is>
          <t>MALÅ</t>
        </is>
      </c>
      <c r="F671" t="inlineStr">
        <is>
          <t>Sveaskog</t>
        </is>
      </c>
      <c r="G671" t="n">
        <v>7.7</v>
      </c>
      <c r="H671" t="n">
        <v>0</v>
      </c>
      <c r="I671" t="n">
        <v>1</v>
      </c>
      <c r="J671" t="n">
        <v>2</v>
      </c>
      <c r="K671" t="n">
        <v>0</v>
      </c>
      <c r="L671" t="n">
        <v>0</v>
      </c>
      <c r="M671" t="n">
        <v>0</v>
      </c>
      <c r="N671" t="n">
        <v>0</v>
      </c>
      <c r="O671" t="n">
        <v>2</v>
      </c>
      <c r="P671" t="n">
        <v>0</v>
      </c>
      <c r="Q671" t="n">
        <v>3</v>
      </c>
      <c r="R671" s="2" t="inlineStr">
        <is>
          <t>Gammelgransskål
Lunglav
Stuplav</t>
        </is>
      </c>
      <c r="S671">
        <f>HYPERLINK("https://klasma.github.io/Logging_2418/artfynd/A 57209-2019 artfynd.xlsx", "A 57209-2019")</f>
        <v/>
      </c>
      <c r="T671">
        <f>HYPERLINK("https://klasma.github.io/Logging_2418/kartor/A 57209-2019 karta.png", "A 57209-2019")</f>
        <v/>
      </c>
      <c r="V671">
        <f>HYPERLINK("https://klasma.github.io/Logging_2418/klagomål/A 57209-2019 FSC-klagomål.docx", "A 57209-2019")</f>
        <v/>
      </c>
      <c r="W671">
        <f>HYPERLINK("https://klasma.github.io/Logging_2418/klagomålsmail/A 57209-2019 FSC-klagomål mail.docx", "A 57209-2019")</f>
        <v/>
      </c>
      <c r="X671">
        <f>HYPERLINK("https://klasma.github.io/Logging_2418/tillsyn/A 57209-2019 tillsynsbegäran.docx", "A 57209-2019")</f>
        <v/>
      </c>
      <c r="Y671">
        <f>HYPERLINK("https://klasma.github.io/Logging_2418/tillsynsmail/A 57209-2019 tillsynsbegäran mail.docx", "A 57209-2019")</f>
        <v/>
      </c>
    </row>
    <row r="672" ht="15" customHeight="1">
      <c r="A672" t="inlineStr">
        <is>
          <t>A 64056-2019</t>
        </is>
      </c>
      <c r="B672" s="1" t="n">
        <v>43796</v>
      </c>
      <c r="C672" s="1" t="n">
        <v>45718</v>
      </c>
      <c r="D672" t="inlineStr">
        <is>
          <t>VÄSTERBOTTENS LÄN</t>
        </is>
      </c>
      <c r="E672" t="inlineStr">
        <is>
          <t>SKELLEFTEÅ</t>
        </is>
      </c>
      <c r="F672" t="inlineStr">
        <is>
          <t>Sveaskog</t>
        </is>
      </c>
      <c r="G672" t="n">
        <v>4.1</v>
      </c>
      <c r="H672" t="n">
        <v>0</v>
      </c>
      <c r="I672" t="n">
        <v>0</v>
      </c>
      <c r="J672" t="n">
        <v>3</v>
      </c>
      <c r="K672" t="n">
        <v>0</v>
      </c>
      <c r="L672" t="n">
        <v>0</v>
      </c>
      <c r="M672" t="n">
        <v>0</v>
      </c>
      <c r="N672" t="n">
        <v>0</v>
      </c>
      <c r="O672" t="n">
        <v>3</v>
      </c>
      <c r="P672" t="n">
        <v>0</v>
      </c>
      <c r="Q672" t="n">
        <v>3</v>
      </c>
      <c r="R672" s="2" t="inlineStr">
        <is>
          <t>Gammelgransskål
Garnlav
Lunglav</t>
        </is>
      </c>
      <c r="S672">
        <f>HYPERLINK("https://klasma.github.io/Logging_2482/artfynd/A 64056-2019 artfynd.xlsx", "A 64056-2019")</f>
        <v/>
      </c>
      <c r="T672">
        <f>HYPERLINK("https://klasma.github.io/Logging_2482/kartor/A 64056-2019 karta.png", "A 64056-2019")</f>
        <v/>
      </c>
      <c r="V672">
        <f>HYPERLINK("https://klasma.github.io/Logging_2482/klagomål/A 64056-2019 FSC-klagomål.docx", "A 64056-2019")</f>
        <v/>
      </c>
      <c r="W672">
        <f>HYPERLINK("https://klasma.github.io/Logging_2482/klagomålsmail/A 64056-2019 FSC-klagomål mail.docx", "A 64056-2019")</f>
        <v/>
      </c>
      <c r="X672">
        <f>HYPERLINK("https://klasma.github.io/Logging_2482/tillsyn/A 64056-2019 tillsynsbegäran.docx", "A 64056-2019")</f>
        <v/>
      </c>
      <c r="Y672">
        <f>HYPERLINK("https://klasma.github.io/Logging_2482/tillsynsmail/A 64056-2019 tillsynsbegäran mail.docx", "A 64056-2019")</f>
        <v/>
      </c>
    </row>
    <row r="673" ht="15" customHeight="1">
      <c r="A673" t="inlineStr">
        <is>
          <t>A 3109-2020</t>
        </is>
      </c>
      <c r="B673" s="1" t="n">
        <v>43851</v>
      </c>
      <c r="C673" s="1" t="n">
        <v>45718</v>
      </c>
      <c r="D673" t="inlineStr">
        <is>
          <t>VÄSTERBOTTENS LÄN</t>
        </is>
      </c>
      <c r="E673" t="inlineStr">
        <is>
          <t>UMEÅ</t>
        </is>
      </c>
      <c r="G673" t="n">
        <v>2.2</v>
      </c>
      <c r="H673" t="n">
        <v>1</v>
      </c>
      <c r="I673" t="n">
        <v>1</v>
      </c>
      <c r="J673" t="n">
        <v>1</v>
      </c>
      <c r="K673" t="n">
        <v>1</v>
      </c>
      <c r="L673" t="n">
        <v>0</v>
      </c>
      <c r="M673" t="n">
        <v>0</v>
      </c>
      <c r="N673" t="n">
        <v>0</v>
      </c>
      <c r="O673" t="n">
        <v>2</v>
      </c>
      <c r="P673" t="n">
        <v>1</v>
      </c>
      <c r="Q673" t="n">
        <v>3</v>
      </c>
      <c r="R673" s="2" t="inlineStr">
        <is>
          <t>Långskägg
Granticka
Vedticka</t>
        </is>
      </c>
      <c r="S673">
        <f>HYPERLINK("https://klasma.github.io/Logging_2480/artfynd/A 3109-2020 artfynd.xlsx", "A 3109-2020")</f>
        <v/>
      </c>
      <c r="T673">
        <f>HYPERLINK("https://klasma.github.io/Logging_2480/kartor/A 3109-2020 karta.png", "A 3109-2020")</f>
        <v/>
      </c>
      <c r="V673">
        <f>HYPERLINK("https://klasma.github.io/Logging_2480/klagomål/A 3109-2020 FSC-klagomål.docx", "A 3109-2020")</f>
        <v/>
      </c>
      <c r="W673">
        <f>HYPERLINK("https://klasma.github.io/Logging_2480/klagomålsmail/A 3109-2020 FSC-klagomål mail.docx", "A 3109-2020")</f>
        <v/>
      </c>
      <c r="X673">
        <f>HYPERLINK("https://klasma.github.io/Logging_2480/tillsyn/A 3109-2020 tillsynsbegäran.docx", "A 3109-2020")</f>
        <v/>
      </c>
      <c r="Y673">
        <f>HYPERLINK("https://klasma.github.io/Logging_2480/tillsynsmail/A 3109-2020 tillsynsbegäran mail.docx", "A 3109-2020")</f>
        <v/>
      </c>
    </row>
    <row r="674" ht="15" customHeight="1">
      <c r="A674" t="inlineStr">
        <is>
          <t>A 14267-2020</t>
        </is>
      </c>
      <c r="B674" s="1" t="n">
        <v>43901</v>
      </c>
      <c r="C674" s="1" t="n">
        <v>45718</v>
      </c>
      <c r="D674" t="inlineStr">
        <is>
          <t>VÄSTERBOTTENS LÄN</t>
        </is>
      </c>
      <c r="E674" t="inlineStr">
        <is>
          <t>UMEÅ</t>
        </is>
      </c>
      <c r="G674" t="n">
        <v>2.2</v>
      </c>
      <c r="H674" t="n">
        <v>1</v>
      </c>
      <c r="I674" t="n">
        <v>1</v>
      </c>
      <c r="J674" t="n">
        <v>2</v>
      </c>
      <c r="K674" t="n">
        <v>0</v>
      </c>
      <c r="L674" t="n">
        <v>0</v>
      </c>
      <c r="M674" t="n">
        <v>0</v>
      </c>
      <c r="N674" t="n">
        <v>0</v>
      </c>
      <c r="O674" t="n">
        <v>2</v>
      </c>
      <c r="P674" t="n">
        <v>0</v>
      </c>
      <c r="Q674" t="n">
        <v>3</v>
      </c>
      <c r="R674" s="2" t="inlineStr">
        <is>
          <t>Garnlav
Tretåig hackspett
Vedticka</t>
        </is>
      </c>
      <c r="S674">
        <f>HYPERLINK("https://klasma.github.io/Logging_2480/artfynd/A 14267-2020 artfynd.xlsx", "A 14267-2020")</f>
        <v/>
      </c>
      <c r="T674">
        <f>HYPERLINK("https://klasma.github.io/Logging_2480/kartor/A 14267-2020 karta.png", "A 14267-2020")</f>
        <v/>
      </c>
      <c r="V674">
        <f>HYPERLINK("https://klasma.github.io/Logging_2480/klagomål/A 14267-2020 FSC-klagomål.docx", "A 14267-2020")</f>
        <v/>
      </c>
      <c r="W674">
        <f>HYPERLINK("https://klasma.github.io/Logging_2480/klagomålsmail/A 14267-2020 FSC-klagomål mail.docx", "A 14267-2020")</f>
        <v/>
      </c>
      <c r="X674">
        <f>HYPERLINK("https://klasma.github.io/Logging_2480/tillsyn/A 14267-2020 tillsynsbegäran.docx", "A 14267-2020")</f>
        <v/>
      </c>
      <c r="Y674">
        <f>HYPERLINK("https://klasma.github.io/Logging_2480/tillsynsmail/A 14267-2020 tillsynsbegäran mail.docx", "A 14267-2020")</f>
        <v/>
      </c>
      <c r="Z674">
        <f>HYPERLINK("https://klasma.github.io/Logging_2480/fåglar/A 14267-2020 prioriterade fågelarter.docx", "A 14267-2020")</f>
        <v/>
      </c>
    </row>
    <row r="675" ht="15" customHeight="1">
      <c r="A675" t="inlineStr">
        <is>
          <t>A 17571-2020</t>
        </is>
      </c>
      <c r="B675" s="1" t="n">
        <v>43920</v>
      </c>
      <c r="C675" s="1" t="n">
        <v>45718</v>
      </c>
      <c r="D675" t="inlineStr">
        <is>
          <t>VÄSTERBOTTENS LÄN</t>
        </is>
      </c>
      <c r="E675" t="inlineStr">
        <is>
          <t>BJURHOLM</t>
        </is>
      </c>
      <c r="G675" t="n">
        <v>12.1</v>
      </c>
      <c r="H675" t="n">
        <v>0</v>
      </c>
      <c r="I675" t="n">
        <v>0</v>
      </c>
      <c r="J675" t="n">
        <v>3</v>
      </c>
      <c r="K675" t="n">
        <v>0</v>
      </c>
      <c r="L675" t="n">
        <v>0</v>
      </c>
      <c r="M675" t="n">
        <v>0</v>
      </c>
      <c r="N675" t="n">
        <v>0</v>
      </c>
      <c r="O675" t="n">
        <v>3</v>
      </c>
      <c r="P675" t="n">
        <v>0</v>
      </c>
      <c r="Q675" t="n">
        <v>3</v>
      </c>
      <c r="R675" s="2" t="inlineStr">
        <is>
          <t>Garnlav
Ullticka
Violettgrå tagellav</t>
        </is>
      </c>
      <c r="S675">
        <f>HYPERLINK("https://klasma.github.io/Logging_2403/artfynd/A 17571-2020 artfynd.xlsx", "A 17571-2020")</f>
        <v/>
      </c>
      <c r="T675">
        <f>HYPERLINK("https://klasma.github.io/Logging_2403/kartor/A 17571-2020 karta.png", "A 17571-2020")</f>
        <v/>
      </c>
      <c r="V675">
        <f>HYPERLINK("https://klasma.github.io/Logging_2403/klagomål/A 17571-2020 FSC-klagomål.docx", "A 17571-2020")</f>
        <v/>
      </c>
      <c r="W675">
        <f>HYPERLINK("https://klasma.github.io/Logging_2403/klagomålsmail/A 17571-2020 FSC-klagomål mail.docx", "A 17571-2020")</f>
        <v/>
      </c>
      <c r="X675">
        <f>HYPERLINK("https://klasma.github.io/Logging_2403/tillsyn/A 17571-2020 tillsynsbegäran.docx", "A 17571-2020")</f>
        <v/>
      </c>
      <c r="Y675">
        <f>HYPERLINK("https://klasma.github.io/Logging_2403/tillsynsmail/A 17571-2020 tillsynsbegäran mail.docx", "A 17571-2020")</f>
        <v/>
      </c>
    </row>
    <row r="676" ht="15" customHeight="1">
      <c r="A676" t="inlineStr">
        <is>
          <t>A 18717-2020</t>
        </is>
      </c>
      <c r="B676" s="1" t="n">
        <v>43930</v>
      </c>
      <c r="C676" s="1" t="n">
        <v>45718</v>
      </c>
      <c r="D676" t="inlineStr">
        <is>
          <t>VÄSTERBOTTENS LÄN</t>
        </is>
      </c>
      <c r="E676" t="inlineStr">
        <is>
          <t>NORDMALING</t>
        </is>
      </c>
      <c r="G676" t="n">
        <v>4.3</v>
      </c>
      <c r="H676" t="n">
        <v>0</v>
      </c>
      <c r="I676" t="n">
        <v>1</v>
      </c>
      <c r="J676" t="n">
        <v>2</v>
      </c>
      <c r="K676" t="n">
        <v>0</v>
      </c>
      <c r="L676" t="n">
        <v>0</v>
      </c>
      <c r="M676" t="n">
        <v>0</v>
      </c>
      <c r="N676" t="n">
        <v>0</v>
      </c>
      <c r="O676" t="n">
        <v>2</v>
      </c>
      <c r="P676" t="n">
        <v>0</v>
      </c>
      <c r="Q676" t="n">
        <v>3</v>
      </c>
      <c r="R676" s="2" t="inlineStr">
        <is>
          <t>Gammelgransskål
Vitgrynig nållav
Vedticka</t>
        </is>
      </c>
      <c r="S676">
        <f>HYPERLINK("https://klasma.github.io/Logging_2401/artfynd/A 18717-2020 artfynd.xlsx", "A 18717-2020")</f>
        <v/>
      </c>
      <c r="T676">
        <f>HYPERLINK("https://klasma.github.io/Logging_2401/kartor/A 18717-2020 karta.png", "A 18717-2020")</f>
        <v/>
      </c>
      <c r="V676">
        <f>HYPERLINK("https://klasma.github.io/Logging_2401/klagomål/A 18717-2020 FSC-klagomål.docx", "A 18717-2020")</f>
        <v/>
      </c>
      <c r="W676">
        <f>HYPERLINK("https://klasma.github.io/Logging_2401/klagomålsmail/A 18717-2020 FSC-klagomål mail.docx", "A 18717-2020")</f>
        <v/>
      </c>
      <c r="X676">
        <f>HYPERLINK("https://klasma.github.io/Logging_2401/tillsyn/A 18717-2020 tillsynsbegäran.docx", "A 18717-2020")</f>
        <v/>
      </c>
      <c r="Y676">
        <f>HYPERLINK("https://klasma.github.io/Logging_2401/tillsynsmail/A 18717-2020 tillsynsbegäran mail.docx", "A 18717-2020")</f>
        <v/>
      </c>
    </row>
    <row r="677" ht="15" customHeight="1">
      <c r="A677" t="inlineStr">
        <is>
          <t>A 32940-2020</t>
        </is>
      </c>
      <c r="B677" s="1" t="n">
        <v>44018</v>
      </c>
      <c r="C677" s="1" t="n">
        <v>45718</v>
      </c>
      <c r="D677" t="inlineStr">
        <is>
          <t>VÄSTERBOTTENS LÄN</t>
        </is>
      </c>
      <c r="E677" t="inlineStr">
        <is>
          <t>SKELLEFTEÅ</t>
        </is>
      </c>
      <c r="G677" t="n">
        <v>15.6</v>
      </c>
      <c r="H677" t="n">
        <v>0</v>
      </c>
      <c r="I677" t="n">
        <v>1</v>
      </c>
      <c r="J677" t="n">
        <v>1</v>
      </c>
      <c r="K677" t="n">
        <v>1</v>
      </c>
      <c r="L677" t="n">
        <v>0</v>
      </c>
      <c r="M677" t="n">
        <v>0</v>
      </c>
      <c r="N677" t="n">
        <v>0</v>
      </c>
      <c r="O677" t="n">
        <v>2</v>
      </c>
      <c r="P677" t="n">
        <v>1</v>
      </c>
      <c r="Q677" t="n">
        <v>3</v>
      </c>
      <c r="R677" s="2" t="inlineStr">
        <is>
          <t>Goliatmusseron
Skrovlig taggsvamp
Dropptaggsvamp</t>
        </is>
      </c>
      <c r="S677">
        <f>HYPERLINK("https://klasma.github.io/Logging_2482/artfynd/A 32940-2020 artfynd.xlsx", "A 32940-2020")</f>
        <v/>
      </c>
      <c r="T677">
        <f>HYPERLINK("https://klasma.github.io/Logging_2482/kartor/A 32940-2020 karta.png", "A 32940-2020")</f>
        <v/>
      </c>
      <c r="V677">
        <f>HYPERLINK("https://klasma.github.io/Logging_2482/klagomål/A 32940-2020 FSC-klagomål.docx", "A 32940-2020")</f>
        <v/>
      </c>
      <c r="W677">
        <f>HYPERLINK("https://klasma.github.io/Logging_2482/klagomålsmail/A 32940-2020 FSC-klagomål mail.docx", "A 32940-2020")</f>
        <v/>
      </c>
      <c r="X677">
        <f>HYPERLINK("https://klasma.github.io/Logging_2482/tillsyn/A 32940-2020 tillsynsbegäran.docx", "A 32940-2020")</f>
        <v/>
      </c>
      <c r="Y677">
        <f>HYPERLINK("https://klasma.github.io/Logging_2482/tillsynsmail/A 32940-2020 tillsynsbegäran mail.docx", "A 32940-2020")</f>
        <v/>
      </c>
    </row>
    <row r="678" ht="15" customHeight="1">
      <c r="A678" t="inlineStr">
        <is>
          <t>A 33729-2020</t>
        </is>
      </c>
      <c r="B678" s="1" t="n">
        <v>44026</v>
      </c>
      <c r="C678" s="1" t="n">
        <v>45718</v>
      </c>
      <c r="D678" t="inlineStr">
        <is>
          <t>VÄSTERBOTTENS LÄN</t>
        </is>
      </c>
      <c r="E678" t="inlineStr">
        <is>
          <t>BJURHOLM</t>
        </is>
      </c>
      <c r="F678" t="inlineStr">
        <is>
          <t>Holmen skog AB</t>
        </is>
      </c>
      <c r="G678" t="n">
        <v>7.9</v>
      </c>
      <c r="H678" t="n">
        <v>0</v>
      </c>
      <c r="I678" t="n">
        <v>0</v>
      </c>
      <c r="J678" t="n">
        <v>3</v>
      </c>
      <c r="K678" t="n">
        <v>0</v>
      </c>
      <c r="L678" t="n">
        <v>0</v>
      </c>
      <c r="M678" t="n">
        <v>0</v>
      </c>
      <c r="N678" t="n">
        <v>0</v>
      </c>
      <c r="O678" t="n">
        <v>3</v>
      </c>
      <c r="P678" t="n">
        <v>0</v>
      </c>
      <c r="Q678" t="n">
        <v>3</v>
      </c>
      <c r="R678" s="2" t="inlineStr">
        <is>
          <t>Stjärntagging
Violettgrå tagellav
Vitgrynig nållav</t>
        </is>
      </c>
      <c r="S678">
        <f>HYPERLINK("https://klasma.github.io/Logging_2403/artfynd/A 33729-2020 artfynd.xlsx", "A 33729-2020")</f>
        <v/>
      </c>
      <c r="T678">
        <f>HYPERLINK("https://klasma.github.io/Logging_2403/kartor/A 33729-2020 karta.png", "A 33729-2020")</f>
        <v/>
      </c>
      <c r="V678">
        <f>HYPERLINK("https://klasma.github.io/Logging_2403/klagomål/A 33729-2020 FSC-klagomål.docx", "A 33729-2020")</f>
        <v/>
      </c>
      <c r="W678">
        <f>HYPERLINK("https://klasma.github.io/Logging_2403/klagomålsmail/A 33729-2020 FSC-klagomål mail.docx", "A 33729-2020")</f>
        <v/>
      </c>
      <c r="X678">
        <f>HYPERLINK("https://klasma.github.io/Logging_2403/tillsyn/A 33729-2020 tillsynsbegäran.docx", "A 33729-2020")</f>
        <v/>
      </c>
      <c r="Y678">
        <f>HYPERLINK("https://klasma.github.io/Logging_2403/tillsynsmail/A 33729-2020 tillsynsbegäran mail.docx", "A 33729-2020")</f>
        <v/>
      </c>
    </row>
    <row r="679" ht="15" customHeight="1">
      <c r="A679" t="inlineStr">
        <is>
          <t>A 40137-2020</t>
        </is>
      </c>
      <c r="B679" s="1" t="n">
        <v>44064</v>
      </c>
      <c r="C679" s="1" t="n">
        <v>45718</v>
      </c>
      <c r="D679" t="inlineStr">
        <is>
          <t>VÄSTERBOTTENS LÄN</t>
        </is>
      </c>
      <c r="E679" t="inlineStr">
        <is>
          <t>NORDMALING</t>
        </is>
      </c>
      <c r="G679" t="n">
        <v>0.8</v>
      </c>
      <c r="H679" t="n">
        <v>0</v>
      </c>
      <c r="I679" t="n">
        <v>2</v>
      </c>
      <c r="J679" t="n">
        <v>1</v>
      </c>
      <c r="K679" t="n">
        <v>0</v>
      </c>
      <c r="L679" t="n">
        <v>0</v>
      </c>
      <c r="M679" t="n">
        <v>0</v>
      </c>
      <c r="N679" t="n">
        <v>0</v>
      </c>
      <c r="O679" t="n">
        <v>1</v>
      </c>
      <c r="P679" t="n">
        <v>0</v>
      </c>
      <c r="Q679" t="n">
        <v>3</v>
      </c>
      <c r="R679" s="2" t="inlineStr">
        <is>
          <t>Ullticka
Bronshjon
Skinnlav</t>
        </is>
      </c>
      <c r="S679">
        <f>HYPERLINK("https://klasma.github.io/Logging_2401/artfynd/A 40137-2020 artfynd.xlsx", "A 40137-2020")</f>
        <v/>
      </c>
      <c r="T679">
        <f>HYPERLINK("https://klasma.github.io/Logging_2401/kartor/A 40137-2020 karta.png", "A 40137-2020")</f>
        <v/>
      </c>
      <c r="V679">
        <f>HYPERLINK("https://klasma.github.io/Logging_2401/klagomål/A 40137-2020 FSC-klagomål.docx", "A 40137-2020")</f>
        <v/>
      </c>
      <c r="W679">
        <f>HYPERLINK("https://klasma.github.io/Logging_2401/klagomålsmail/A 40137-2020 FSC-klagomål mail.docx", "A 40137-2020")</f>
        <v/>
      </c>
      <c r="X679">
        <f>HYPERLINK("https://klasma.github.io/Logging_2401/tillsyn/A 40137-2020 tillsynsbegäran.docx", "A 40137-2020")</f>
        <v/>
      </c>
      <c r="Y679">
        <f>HYPERLINK("https://klasma.github.io/Logging_2401/tillsynsmail/A 40137-2020 tillsynsbegäran mail.docx", "A 40137-2020")</f>
        <v/>
      </c>
    </row>
    <row r="680" ht="15" customHeight="1">
      <c r="A680" t="inlineStr">
        <is>
          <t>A 40421-2020</t>
        </is>
      </c>
      <c r="B680" s="1" t="n">
        <v>44068</v>
      </c>
      <c r="C680" s="1" t="n">
        <v>45718</v>
      </c>
      <c r="D680" t="inlineStr">
        <is>
          <t>VÄSTERBOTTENS LÄN</t>
        </is>
      </c>
      <c r="E680" t="inlineStr">
        <is>
          <t>UMEÅ</t>
        </is>
      </c>
      <c r="F680" t="inlineStr">
        <is>
          <t>Kommuner</t>
        </is>
      </c>
      <c r="G680" t="n">
        <v>3</v>
      </c>
      <c r="H680" t="n">
        <v>1</v>
      </c>
      <c r="I680" t="n">
        <v>1</v>
      </c>
      <c r="J680" t="n">
        <v>2</v>
      </c>
      <c r="K680" t="n">
        <v>0</v>
      </c>
      <c r="L680" t="n">
        <v>0</v>
      </c>
      <c r="M680" t="n">
        <v>0</v>
      </c>
      <c r="N680" t="n">
        <v>0</v>
      </c>
      <c r="O680" t="n">
        <v>2</v>
      </c>
      <c r="P680" t="n">
        <v>0</v>
      </c>
      <c r="Q680" t="n">
        <v>3</v>
      </c>
      <c r="R680" s="2" t="inlineStr">
        <is>
          <t>Garnlav
Tretåig hackspett
Nästlav</t>
        </is>
      </c>
      <c r="S680">
        <f>HYPERLINK("https://klasma.github.io/Logging_2480/artfynd/A 40421-2020 artfynd.xlsx", "A 40421-2020")</f>
        <v/>
      </c>
      <c r="T680">
        <f>HYPERLINK("https://klasma.github.io/Logging_2480/kartor/A 40421-2020 karta.png", "A 40421-2020")</f>
        <v/>
      </c>
      <c r="V680">
        <f>HYPERLINK("https://klasma.github.io/Logging_2480/klagomål/A 40421-2020 FSC-klagomål.docx", "A 40421-2020")</f>
        <v/>
      </c>
      <c r="W680">
        <f>HYPERLINK("https://klasma.github.io/Logging_2480/klagomålsmail/A 40421-2020 FSC-klagomål mail.docx", "A 40421-2020")</f>
        <v/>
      </c>
      <c r="X680">
        <f>HYPERLINK("https://klasma.github.io/Logging_2480/tillsyn/A 40421-2020 tillsynsbegäran.docx", "A 40421-2020")</f>
        <v/>
      </c>
      <c r="Y680">
        <f>HYPERLINK("https://klasma.github.io/Logging_2480/tillsynsmail/A 40421-2020 tillsynsbegäran mail.docx", "A 40421-2020")</f>
        <v/>
      </c>
      <c r="Z680">
        <f>HYPERLINK("https://klasma.github.io/Logging_2480/fåglar/A 40421-2020 prioriterade fågelarter.docx", "A 40421-2020")</f>
        <v/>
      </c>
    </row>
    <row r="681" ht="15" customHeight="1">
      <c r="A681" t="inlineStr">
        <is>
          <t>A 40098-2020</t>
        </is>
      </c>
      <c r="B681" s="1" t="n">
        <v>44068</v>
      </c>
      <c r="C681" s="1" t="n">
        <v>45718</v>
      </c>
      <c r="D681" t="inlineStr">
        <is>
          <t>VÄSTERBOTTENS LÄN</t>
        </is>
      </c>
      <c r="E681" t="inlineStr">
        <is>
          <t>ROBERTSFORS</t>
        </is>
      </c>
      <c r="F681" t="inlineStr">
        <is>
          <t>Holmen skog AB</t>
        </is>
      </c>
      <c r="G681" t="n">
        <v>4.6</v>
      </c>
      <c r="H681" t="n">
        <v>2</v>
      </c>
      <c r="I681" t="n">
        <v>0</v>
      </c>
      <c r="J681" t="n">
        <v>3</v>
      </c>
      <c r="K681" t="n">
        <v>0</v>
      </c>
      <c r="L681" t="n">
        <v>0</v>
      </c>
      <c r="M681" t="n">
        <v>0</v>
      </c>
      <c r="N681" t="n">
        <v>0</v>
      </c>
      <c r="O681" t="n">
        <v>3</v>
      </c>
      <c r="P681" t="n">
        <v>0</v>
      </c>
      <c r="Q681" t="n">
        <v>3</v>
      </c>
      <c r="R681" s="2" t="inlineStr">
        <is>
          <t>Garnlav
Spillkråka
Tretåig hackspett</t>
        </is>
      </c>
      <c r="S681">
        <f>HYPERLINK("https://klasma.github.io/Logging_2409/artfynd/A 40098-2020 artfynd.xlsx", "A 40098-2020")</f>
        <v/>
      </c>
      <c r="T681">
        <f>HYPERLINK("https://klasma.github.io/Logging_2409/kartor/A 40098-2020 karta.png", "A 40098-2020")</f>
        <v/>
      </c>
      <c r="V681">
        <f>HYPERLINK("https://klasma.github.io/Logging_2409/klagomål/A 40098-2020 FSC-klagomål.docx", "A 40098-2020")</f>
        <v/>
      </c>
      <c r="W681">
        <f>HYPERLINK("https://klasma.github.io/Logging_2409/klagomålsmail/A 40098-2020 FSC-klagomål mail.docx", "A 40098-2020")</f>
        <v/>
      </c>
      <c r="X681">
        <f>HYPERLINK("https://klasma.github.io/Logging_2409/tillsyn/A 40098-2020 tillsynsbegäran.docx", "A 40098-2020")</f>
        <v/>
      </c>
      <c r="Y681">
        <f>HYPERLINK("https://klasma.github.io/Logging_2409/tillsynsmail/A 40098-2020 tillsynsbegäran mail.docx", "A 40098-2020")</f>
        <v/>
      </c>
      <c r="Z681">
        <f>HYPERLINK("https://klasma.github.io/Logging_2409/fåglar/A 40098-2020 prioriterade fågelarter.docx", "A 40098-2020")</f>
        <v/>
      </c>
    </row>
    <row r="682" ht="15" customHeight="1">
      <c r="A682" t="inlineStr">
        <is>
          <t>A 46682-2020</t>
        </is>
      </c>
      <c r="B682" s="1" t="n">
        <v>44089</v>
      </c>
      <c r="C682" s="1" t="n">
        <v>45718</v>
      </c>
      <c r="D682" t="inlineStr">
        <is>
          <t>VÄSTERBOTTENS LÄN</t>
        </is>
      </c>
      <c r="E682" t="inlineStr">
        <is>
          <t>SKELLEFTEÅ</t>
        </is>
      </c>
      <c r="G682" t="n">
        <v>2.5</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HYPERLINK("https://klasma.github.io/Logging_2482/artfynd/A 46682-2020 artfynd.xlsx", "A 46682-2020")</f>
        <v/>
      </c>
      <c r="T682">
        <f>HYPERLINK("https://klasma.github.io/Logging_2482/kartor/A 46682-2020 karta.png", "A 46682-2020")</f>
        <v/>
      </c>
      <c r="V682">
        <f>HYPERLINK("https://klasma.github.io/Logging_2482/klagomål/A 46682-2020 FSC-klagomål.docx", "A 46682-2020")</f>
        <v/>
      </c>
      <c r="W682">
        <f>HYPERLINK("https://klasma.github.io/Logging_2482/klagomålsmail/A 46682-2020 FSC-klagomål mail.docx", "A 46682-2020")</f>
        <v/>
      </c>
      <c r="X682">
        <f>HYPERLINK("https://klasma.github.io/Logging_2482/tillsyn/A 46682-2020 tillsynsbegäran.docx", "A 46682-2020")</f>
        <v/>
      </c>
      <c r="Y682">
        <f>HYPERLINK("https://klasma.github.io/Logging_2482/tillsynsmail/A 46682-2020 tillsynsbegäran mail.docx", "A 46682-2020")</f>
        <v/>
      </c>
    </row>
    <row r="683" ht="15" customHeight="1">
      <c r="A683" t="inlineStr">
        <is>
          <t>A 51376-2020</t>
        </is>
      </c>
      <c r="B683" s="1" t="n">
        <v>44112</v>
      </c>
      <c r="C683" s="1" t="n">
        <v>45718</v>
      </c>
      <c r="D683" t="inlineStr">
        <is>
          <t>VÄSTERBOTTENS LÄN</t>
        </is>
      </c>
      <c r="E683" t="inlineStr">
        <is>
          <t>DOROTEA</t>
        </is>
      </c>
      <c r="F683" t="inlineStr">
        <is>
          <t>SCA</t>
        </is>
      </c>
      <c r="G683" t="n">
        <v>8</v>
      </c>
      <c r="H683" t="n">
        <v>0</v>
      </c>
      <c r="I683" t="n">
        <v>0</v>
      </c>
      <c r="J683" t="n">
        <v>3</v>
      </c>
      <c r="K683" t="n">
        <v>0</v>
      </c>
      <c r="L683" t="n">
        <v>0</v>
      </c>
      <c r="M683" t="n">
        <v>0</v>
      </c>
      <c r="N683" t="n">
        <v>0</v>
      </c>
      <c r="O683" t="n">
        <v>3</v>
      </c>
      <c r="P683" t="n">
        <v>0</v>
      </c>
      <c r="Q683" t="n">
        <v>3</v>
      </c>
      <c r="R683" s="2" t="inlineStr">
        <is>
          <t>Granticka
Harticka
Knottrig blåslav</t>
        </is>
      </c>
      <c r="S683">
        <f>HYPERLINK("https://klasma.github.io/Logging_2425/artfynd/A 51376-2020 artfynd.xlsx", "A 51376-2020")</f>
        <v/>
      </c>
      <c r="T683">
        <f>HYPERLINK("https://klasma.github.io/Logging_2425/kartor/A 51376-2020 karta.png", "A 51376-2020")</f>
        <v/>
      </c>
      <c r="V683">
        <f>HYPERLINK("https://klasma.github.io/Logging_2425/klagomål/A 51376-2020 FSC-klagomål.docx", "A 51376-2020")</f>
        <v/>
      </c>
      <c r="W683">
        <f>HYPERLINK("https://klasma.github.io/Logging_2425/klagomålsmail/A 51376-2020 FSC-klagomål mail.docx", "A 51376-2020")</f>
        <v/>
      </c>
      <c r="X683">
        <f>HYPERLINK("https://klasma.github.io/Logging_2425/tillsyn/A 51376-2020 tillsynsbegäran.docx", "A 51376-2020")</f>
        <v/>
      </c>
      <c r="Y683">
        <f>HYPERLINK("https://klasma.github.io/Logging_2425/tillsynsmail/A 51376-2020 tillsynsbegäran mail.docx", "A 51376-2020")</f>
        <v/>
      </c>
    </row>
    <row r="684" ht="15" customHeight="1">
      <c r="A684" t="inlineStr">
        <is>
          <t>A 55616-2020</t>
        </is>
      </c>
      <c r="B684" s="1" t="n">
        <v>44131</v>
      </c>
      <c r="C684" s="1" t="n">
        <v>45718</v>
      </c>
      <c r="D684" t="inlineStr">
        <is>
          <t>VÄSTERBOTTENS LÄN</t>
        </is>
      </c>
      <c r="E684" t="inlineStr">
        <is>
          <t>VINDELN</t>
        </is>
      </c>
      <c r="F684" t="inlineStr">
        <is>
          <t>Sveaskog</t>
        </is>
      </c>
      <c r="G684" t="n">
        <v>4.8</v>
      </c>
      <c r="H684" t="n">
        <v>0</v>
      </c>
      <c r="I684" t="n">
        <v>0</v>
      </c>
      <c r="J684" t="n">
        <v>3</v>
      </c>
      <c r="K684" t="n">
        <v>0</v>
      </c>
      <c r="L684" t="n">
        <v>0</v>
      </c>
      <c r="M684" t="n">
        <v>0</v>
      </c>
      <c r="N684" t="n">
        <v>0</v>
      </c>
      <c r="O684" t="n">
        <v>3</v>
      </c>
      <c r="P684" t="n">
        <v>0</v>
      </c>
      <c r="Q684" t="n">
        <v>3</v>
      </c>
      <c r="R684" s="2" t="inlineStr">
        <is>
          <t>Garnlav
Granticka
Violettgrå tagellav</t>
        </is>
      </c>
      <c r="S684">
        <f>HYPERLINK("https://klasma.github.io/Logging_2404/artfynd/A 55616-2020 artfynd.xlsx", "A 55616-2020")</f>
        <v/>
      </c>
      <c r="T684">
        <f>HYPERLINK("https://klasma.github.io/Logging_2404/kartor/A 55616-2020 karta.png", "A 55616-2020")</f>
        <v/>
      </c>
      <c r="V684">
        <f>HYPERLINK("https://klasma.github.io/Logging_2404/klagomål/A 55616-2020 FSC-klagomål.docx", "A 55616-2020")</f>
        <v/>
      </c>
      <c r="W684">
        <f>HYPERLINK("https://klasma.github.io/Logging_2404/klagomålsmail/A 55616-2020 FSC-klagomål mail.docx", "A 55616-2020")</f>
        <v/>
      </c>
      <c r="X684">
        <f>HYPERLINK("https://klasma.github.io/Logging_2404/tillsyn/A 55616-2020 tillsynsbegäran.docx", "A 55616-2020")</f>
        <v/>
      </c>
      <c r="Y684">
        <f>HYPERLINK("https://klasma.github.io/Logging_2404/tillsynsmail/A 55616-2020 tillsynsbegäran mail.docx", "A 55616-2020")</f>
        <v/>
      </c>
    </row>
    <row r="685" ht="15" customHeight="1">
      <c r="A685" t="inlineStr">
        <is>
          <t>A 63164-2020</t>
        </is>
      </c>
      <c r="B685" s="1" t="n">
        <v>44162</v>
      </c>
      <c r="C685" s="1" t="n">
        <v>45718</v>
      </c>
      <c r="D685" t="inlineStr">
        <is>
          <t>VÄSTERBOTTENS LÄN</t>
        </is>
      </c>
      <c r="E685" t="inlineStr">
        <is>
          <t>VILHELMINA</t>
        </is>
      </c>
      <c r="F685" t="inlineStr">
        <is>
          <t>SCA</t>
        </is>
      </c>
      <c r="G685" t="n">
        <v>5.9</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HYPERLINK("https://klasma.github.io/Logging_2462/artfynd/A 63164-2020 artfynd.xlsx", "A 63164-2020")</f>
        <v/>
      </c>
      <c r="T685">
        <f>HYPERLINK("https://klasma.github.io/Logging_2462/kartor/A 63164-2020 karta.png", "A 63164-2020")</f>
        <v/>
      </c>
      <c r="V685">
        <f>HYPERLINK("https://klasma.github.io/Logging_2462/klagomål/A 63164-2020 FSC-klagomål.docx", "A 63164-2020")</f>
        <v/>
      </c>
      <c r="W685">
        <f>HYPERLINK("https://klasma.github.io/Logging_2462/klagomålsmail/A 63164-2020 FSC-klagomål mail.docx", "A 63164-2020")</f>
        <v/>
      </c>
      <c r="X685">
        <f>HYPERLINK("https://klasma.github.io/Logging_2462/tillsyn/A 63164-2020 tillsynsbegäran.docx", "A 63164-2020")</f>
        <v/>
      </c>
      <c r="Y685">
        <f>HYPERLINK("https://klasma.github.io/Logging_2462/tillsynsmail/A 63164-2020 tillsynsbegäran mail.docx", "A 63164-2020")</f>
        <v/>
      </c>
      <c r="Z685">
        <f>HYPERLINK("https://klasma.github.io/Logging_2462/fåglar/A 63164-2020 prioriterade fågelarter.docx", "A 63164-2020")</f>
        <v/>
      </c>
    </row>
    <row r="686" ht="15" customHeight="1">
      <c r="A686" t="inlineStr">
        <is>
          <t>A 68690-2020</t>
        </is>
      </c>
      <c r="B686" s="1" t="n">
        <v>44186</v>
      </c>
      <c r="C686" s="1" t="n">
        <v>45718</v>
      </c>
      <c r="D686" t="inlineStr">
        <is>
          <t>VÄSTERBOTTENS LÄN</t>
        </is>
      </c>
      <c r="E686" t="inlineStr">
        <is>
          <t>SKELLEFTEÅ</t>
        </is>
      </c>
      <c r="G686" t="n">
        <v>6.1</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68690-2020 artfynd.xlsx", "A 68690-2020")</f>
        <v/>
      </c>
      <c r="T686">
        <f>HYPERLINK("https://klasma.github.io/Logging_2482/kartor/A 68690-2020 karta.png", "A 68690-2020")</f>
        <v/>
      </c>
      <c r="V686">
        <f>HYPERLINK("https://klasma.github.io/Logging_2482/klagomål/A 68690-2020 FSC-klagomål.docx", "A 68690-2020")</f>
        <v/>
      </c>
      <c r="W686">
        <f>HYPERLINK("https://klasma.github.io/Logging_2482/klagomålsmail/A 68690-2020 FSC-klagomål mail.docx", "A 68690-2020")</f>
        <v/>
      </c>
      <c r="X686">
        <f>HYPERLINK("https://klasma.github.io/Logging_2482/tillsyn/A 68690-2020 tillsynsbegäran.docx", "A 68690-2020")</f>
        <v/>
      </c>
      <c r="Y686">
        <f>HYPERLINK("https://klasma.github.io/Logging_2482/tillsynsmail/A 68690-2020 tillsynsbegäran mail.docx", "A 68690-2020")</f>
        <v/>
      </c>
    </row>
    <row r="687" ht="15" customHeight="1">
      <c r="A687" t="inlineStr">
        <is>
          <t>A 21287-2021</t>
        </is>
      </c>
      <c r="B687" s="1" t="n">
        <v>44320</v>
      </c>
      <c r="C687" s="1" t="n">
        <v>45718</v>
      </c>
      <c r="D687" t="inlineStr">
        <is>
          <t>VÄSTERBOTTENS LÄN</t>
        </is>
      </c>
      <c r="E687" t="inlineStr">
        <is>
          <t>UMEÅ</t>
        </is>
      </c>
      <c r="G687" t="n">
        <v>2.9</v>
      </c>
      <c r="H687" t="n">
        <v>2</v>
      </c>
      <c r="I687" t="n">
        <v>0</v>
      </c>
      <c r="J687" t="n">
        <v>3</v>
      </c>
      <c r="K687" t="n">
        <v>0</v>
      </c>
      <c r="L687" t="n">
        <v>0</v>
      </c>
      <c r="M687" t="n">
        <v>0</v>
      </c>
      <c r="N687" t="n">
        <v>0</v>
      </c>
      <c r="O687" t="n">
        <v>3</v>
      </c>
      <c r="P687" t="n">
        <v>0</v>
      </c>
      <c r="Q687" t="n">
        <v>3</v>
      </c>
      <c r="R687" s="2" t="inlineStr">
        <is>
          <t>Brunlångöra
Nordfladdermus
Violmussling</t>
        </is>
      </c>
      <c r="S687">
        <f>HYPERLINK("https://klasma.github.io/Logging_2480/artfynd/A 21287-2021 artfynd.xlsx", "A 21287-2021")</f>
        <v/>
      </c>
      <c r="T687">
        <f>HYPERLINK("https://klasma.github.io/Logging_2480/kartor/A 21287-2021 karta.png", "A 21287-2021")</f>
        <v/>
      </c>
      <c r="V687">
        <f>HYPERLINK("https://klasma.github.io/Logging_2480/klagomål/A 21287-2021 FSC-klagomål.docx", "A 21287-2021")</f>
        <v/>
      </c>
      <c r="W687">
        <f>HYPERLINK("https://klasma.github.io/Logging_2480/klagomålsmail/A 21287-2021 FSC-klagomål mail.docx", "A 21287-2021")</f>
        <v/>
      </c>
      <c r="X687">
        <f>HYPERLINK("https://klasma.github.io/Logging_2480/tillsyn/A 21287-2021 tillsynsbegäran.docx", "A 21287-2021")</f>
        <v/>
      </c>
      <c r="Y687">
        <f>HYPERLINK("https://klasma.github.io/Logging_2480/tillsynsmail/A 21287-2021 tillsynsbegäran mail.docx", "A 21287-2021")</f>
        <v/>
      </c>
    </row>
    <row r="688" ht="15" customHeight="1">
      <c r="A688" t="inlineStr">
        <is>
          <t>A 29725-2021</t>
        </is>
      </c>
      <c r="B688" s="1" t="n">
        <v>44362</v>
      </c>
      <c r="C688" s="1" t="n">
        <v>45718</v>
      </c>
      <c r="D688" t="inlineStr">
        <is>
          <t>VÄSTERBOTTENS LÄN</t>
        </is>
      </c>
      <c r="E688" t="inlineStr">
        <is>
          <t>SKELLEFTEÅ</t>
        </is>
      </c>
      <c r="F688" t="inlineStr">
        <is>
          <t>Holmen skog AB</t>
        </is>
      </c>
      <c r="G688" t="n">
        <v>10.7</v>
      </c>
      <c r="H688" t="n">
        <v>1</v>
      </c>
      <c r="I688" t="n">
        <v>0</v>
      </c>
      <c r="J688" t="n">
        <v>2</v>
      </c>
      <c r="K688" t="n">
        <v>0</v>
      </c>
      <c r="L688" t="n">
        <v>0</v>
      </c>
      <c r="M688" t="n">
        <v>0</v>
      </c>
      <c r="N688" t="n">
        <v>0</v>
      </c>
      <c r="O688" t="n">
        <v>2</v>
      </c>
      <c r="P688" t="n">
        <v>0</v>
      </c>
      <c r="Q688" t="n">
        <v>3</v>
      </c>
      <c r="R688" s="2" t="inlineStr">
        <is>
          <t>Gammelgransskål
Garnlav
Orre</t>
        </is>
      </c>
      <c r="S688">
        <f>HYPERLINK("https://klasma.github.io/Logging_2482/artfynd/A 29725-2021 artfynd.xlsx", "A 29725-2021")</f>
        <v/>
      </c>
      <c r="T688">
        <f>HYPERLINK("https://klasma.github.io/Logging_2482/kartor/A 29725-2021 karta.png", "A 29725-2021")</f>
        <v/>
      </c>
      <c r="V688">
        <f>HYPERLINK("https://klasma.github.io/Logging_2482/klagomål/A 29725-2021 FSC-klagomål.docx", "A 29725-2021")</f>
        <v/>
      </c>
      <c r="W688">
        <f>HYPERLINK("https://klasma.github.io/Logging_2482/klagomålsmail/A 29725-2021 FSC-klagomål mail.docx", "A 29725-2021")</f>
        <v/>
      </c>
      <c r="X688">
        <f>HYPERLINK("https://klasma.github.io/Logging_2482/tillsyn/A 29725-2021 tillsynsbegäran.docx", "A 29725-2021")</f>
        <v/>
      </c>
      <c r="Y688">
        <f>HYPERLINK("https://klasma.github.io/Logging_2482/tillsynsmail/A 29725-2021 tillsynsbegäran mail.docx", "A 29725-2021")</f>
        <v/>
      </c>
      <c r="Z688">
        <f>HYPERLINK("https://klasma.github.io/Logging_2482/fåglar/A 29725-2021 prioriterade fågelarter.docx", "A 29725-2021")</f>
        <v/>
      </c>
    </row>
    <row r="689" ht="15" customHeight="1">
      <c r="A689" t="inlineStr">
        <is>
          <t>A 32918-2021</t>
        </is>
      </c>
      <c r="B689" s="1" t="n">
        <v>44375</v>
      </c>
      <c r="C689" s="1" t="n">
        <v>45718</v>
      </c>
      <c r="D689" t="inlineStr">
        <is>
          <t>VÄSTERBOTTENS LÄN</t>
        </is>
      </c>
      <c r="E689" t="inlineStr">
        <is>
          <t>SKELLEFTEÅ</t>
        </is>
      </c>
      <c r="F689" t="inlineStr">
        <is>
          <t>SCA</t>
        </is>
      </c>
      <c r="G689" t="n">
        <v>16.7</v>
      </c>
      <c r="H689" t="n">
        <v>0</v>
      </c>
      <c r="I689" t="n">
        <v>1</v>
      </c>
      <c r="J689" t="n">
        <v>2</v>
      </c>
      <c r="K689" t="n">
        <v>0</v>
      </c>
      <c r="L689" t="n">
        <v>0</v>
      </c>
      <c r="M689" t="n">
        <v>0</v>
      </c>
      <c r="N689" t="n">
        <v>0</v>
      </c>
      <c r="O689" t="n">
        <v>2</v>
      </c>
      <c r="P689" t="n">
        <v>0</v>
      </c>
      <c r="Q689" t="n">
        <v>3</v>
      </c>
      <c r="R689" s="2" t="inlineStr">
        <is>
          <t>Blå taggsvamp
Tallticka
Dropptaggsvamp</t>
        </is>
      </c>
      <c r="S689">
        <f>HYPERLINK("https://klasma.github.io/Logging_2482/artfynd/A 32918-2021 artfynd.xlsx", "A 32918-2021")</f>
        <v/>
      </c>
      <c r="T689">
        <f>HYPERLINK("https://klasma.github.io/Logging_2482/kartor/A 32918-2021 karta.png", "A 32918-2021")</f>
        <v/>
      </c>
      <c r="V689">
        <f>HYPERLINK("https://klasma.github.io/Logging_2482/klagomål/A 32918-2021 FSC-klagomål.docx", "A 32918-2021")</f>
        <v/>
      </c>
      <c r="W689">
        <f>HYPERLINK("https://klasma.github.io/Logging_2482/klagomålsmail/A 32918-2021 FSC-klagomål mail.docx", "A 32918-2021")</f>
        <v/>
      </c>
      <c r="X689">
        <f>HYPERLINK("https://klasma.github.io/Logging_2482/tillsyn/A 32918-2021 tillsynsbegäran.docx", "A 32918-2021")</f>
        <v/>
      </c>
      <c r="Y689">
        <f>HYPERLINK("https://klasma.github.io/Logging_2482/tillsynsmail/A 32918-2021 tillsynsbegäran mail.docx", "A 32918-2021")</f>
        <v/>
      </c>
    </row>
    <row r="690" ht="15" customHeight="1">
      <c r="A690" t="inlineStr">
        <is>
          <t>A 34718-2021</t>
        </is>
      </c>
      <c r="B690" s="1" t="n">
        <v>44382</v>
      </c>
      <c r="C690" s="1" t="n">
        <v>45718</v>
      </c>
      <c r="D690" t="inlineStr">
        <is>
          <t>VÄSTERBOTTENS LÄN</t>
        </is>
      </c>
      <c r="E690" t="inlineStr">
        <is>
          <t>VILHELMINA</t>
        </is>
      </c>
      <c r="F690" t="inlineStr">
        <is>
          <t>Allmännings- och besparingsskogar</t>
        </is>
      </c>
      <c r="G690" t="n">
        <v>8</v>
      </c>
      <c r="H690" t="n">
        <v>0</v>
      </c>
      <c r="I690" t="n">
        <v>0</v>
      </c>
      <c r="J690" t="n">
        <v>3</v>
      </c>
      <c r="K690" t="n">
        <v>0</v>
      </c>
      <c r="L690" t="n">
        <v>0</v>
      </c>
      <c r="M690" t="n">
        <v>0</v>
      </c>
      <c r="N690" t="n">
        <v>0</v>
      </c>
      <c r="O690" t="n">
        <v>3</v>
      </c>
      <c r="P690" t="n">
        <v>0</v>
      </c>
      <c r="Q690" t="n">
        <v>3</v>
      </c>
      <c r="R690" s="2" t="inlineStr">
        <is>
          <t>Garnlav
Granticka
Gränsticka</t>
        </is>
      </c>
      <c r="S690">
        <f>HYPERLINK("https://klasma.github.io/Logging_2462/artfynd/A 34718-2021 artfynd.xlsx", "A 34718-2021")</f>
        <v/>
      </c>
      <c r="T690">
        <f>HYPERLINK("https://klasma.github.io/Logging_2462/kartor/A 34718-2021 karta.png", "A 34718-2021")</f>
        <v/>
      </c>
      <c r="V690">
        <f>HYPERLINK("https://klasma.github.io/Logging_2462/klagomål/A 34718-2021 FSC-klagomål.docx", "A 34718-2021")</f>
        <v/>
      </c>
      <c r="W690">
        <f>HYPERLINK("https://klasma.github.io/Logging_2462/klagomålsmail/A 34718-2021 FSC-klagomål mail.docx", "A 34718-2021")</f>
        <v/>
      </c>
      <c r="X690">
        <f>HYPERLINK("https://klasma.github.io/Logging_2462/tillsyn/A 34718-2021 tillsynsbegäran.docx", "A 34718-2021")</f>
        <v/>
      </c>
      <c r="Y690">
        <f>HYPERLINK("https://klasma.github.io/Logging_2462/tillsynsmail/A 34718-2021 tillsynsbegäran mail.docx", "A 34718-2021")</f>
        <v/>
      </c>
    </row>
    <row r="691" ht="15" customHeight="1">
      <c r="A691" t="inlineStr">
        <is>
          <t>A 38400-2021</t>
        </is>
      </c>
      <c r="B691" s="1" t="n">
        <v>44406</v>
      </c>
      <c r="C691" s="1" t="n">
        <v>45718</v>
      </c>
      <c r="D691" t="inlineStr">
        <is>
          <t>VÄSTERBOTTENS LÄN</t>
        </is>
      </c>
      <c r="E691" t="inlineStr">
        <is>
          <t>UMEÅ</t>
        </is>
      </c>
      <c r="F691" t="inlineStr">
        <is>
          <t>Kommuner</t>
        </is>
      </c>
      <c r="G691" t="n">
        <v>2.5</v>
      </c>
      <c r="H691" t="n">
        <v>0</v>
      </c>
      <c r="I691" t="n">
        <v>0</v>
      </c>
      <c r="J691" t="n">
        <v>3</v>
      </c>
      <c r="K691" t="n">
        <v>0</v>
      </c>
      <c r="L691" t="n">
        <v>0</v>
      </c>
      <c r="M691" t="n">
        <v>0</v>
      </c>
      <c r="N691" t="n">
        <v>0</v>
      </c>
      <c r="O691" t="n">
        <v>3</v>
      </c>
      <c r="P691" t="n">
        <v>0</v>
      </c>
      <c r="Q691" t="n">
        <v>3</v>
      </c>
      <c r="R691" s="2" t="inlineStr">
        <is>
          <t>Epuraea oblonga
Granticka
Gulbandad brunbagge</t>
        </is>
      </c>
      <c r="S691">
        <f>HYPERLINK("https://klasma.github.io/Logging_2480/artfynd/A 38400-2021 artfynd.xlsx", "A 38400-2021")</f>
        <v/>
      </c>
      <c r="T691">
        <f>HYPERLINK("https://klasma.github.io/Logging_2480/kartor/A 38400-2021 karta.png", "A 38400-2021")</f>
        <v/>
      </c>
      <c r="V691">
        <f>HYPERLINK("https://klasma.github.io/Logging_2480/klagomål/A 38400-2021 FSC-klagomål.docx", "A 38400-2021")</f>
        <v/>
      </c>
      <c r="W691">
        <f>HYPERLINK("https://klasma.github.io/Logging_2480/klagomålsmail/A 38400-2021 FSC-klagomål mail.docx", "A 38400-2021")</f>
        <v/>
      </c>
      <c r="X691">
        <f>HYPERLINK("https://klasma.github.io/Logging_2480/tillsyn/A 38400-2021 tillsynsbegäran.docx", "A 38400-2021")</f>
        <v/>
      </c>
      <c r="Y691">
        <f>HYPERLINK("https://klasma.github.io/Logging_2480/tillsynsmail/A 38400-2021 tillsynsbegäran mail.docx", "A 38400-2021")</f>
        <v/>
      </c>
    </row>
    <row r="692" ht="15" customHeight="1">
      <c r="A692" t="inlineStr">
        <is>
          <t>A 40209-2021</t>
        </is>
      </c>
      <c r="B692" s="1" t="n">
        <v>44418</v>
      </c>
      <c r="C692" s="1" t="n">
        <v>45718</v>
      </c>
      <c r="D692" t="inlineStr">
        <is>
          <t>VÄSTERBOTTENS LÄN</t>
        </is>
      </c>
      <c r="E692" t="inlineStr">
        <is>
          <t>ÅSELE</t>
        </is>
      </c>
      <c r="G692" t="n">
        <v>13.3</v>
      </c>
      <c r="H692" t="n">
        <v>0</v>
      </c>
      <c r="I692" t="n">
        <v>3</v>
      </c>
      <c r="J692" t="n">
        <v>0</v>
      </c>
      <c r="K692" t="n">
        <v>0</v>
      </c>
      <c r="L692" t="n">
        <v>0</v>
      </c>
      <c r="M692" t="n">
        <v>0</v>
      </c>
      <c r="N692" t="n">
        <v>0</v>
      </c>
      <c r="O692" t="n">
        <v>0</v>
      </c>
      <c r="P692" t="n">
        <v>0</v>
      </c>
      <c r="Q692" t="n">
        <v>3</v>
      </c>
      <c r="R692" s="2" t="inlineStr">
        <is>
          <t>Grovticka
Stor aspticka
Vedticka</t>
        </is>
      </c>
      <c r="S692">
        <f>HYPERLINK("https://klasma.github.io/Logging_2463/artfynd/A 40209-2021 artfynd.xlsx", "A 40209-2021")</f>
        <v/>
      </c>
      <c r="T692">
        <f>HYPERLINK("https://klasma.github.io/Logging_2463/kartor/A 40209-2021 karta.png", "A 40209-2021")</f>
        <v/>
      </c>
      <c r="V692">
        <f>HYPERLINK("https://klasma.github.io/Logging_2463/klagomål/A 40209-2021 FSC-klagomål.docx", "A 40209-2021")</f>
        <v/>
      </c>
      <c r="W692">
        <f>HYPERLINK("https://klasma.github.io/Logging_2463/klagomålsmail/A 40209-2021 FSC-klagomål mail.docx", "A 40209-2021")</f>
        <v/>
      </c>
      <c r="X692">
        <f>HYPERLINK("https://klasma.github.io/Logging_2463/tillsyn/A 40209-2021 tillsynsbegäran.docx", "A 40209-2021")</f>
        <v/>
      </c>
      <c r="Y692">
        <f>HYPERLINK("https://klasma.github.io/Logging_2463/tillsynsmail/A 40209-2021 tillsynsbegäran mail.docx", "A 40209-2021")</f>
        <v/>
      </c>
    </row>
    <row r="693" ht="15" customHeight="1">
      <c r="A693" t="inlineStr">
        <is>
          <t>A 40652-2021</t>
        </is>
      </c>
      <c r="B693" s="1" t="n">
        <v>44420</v>
      </c>
      <c r="C693" s="1" t="n">
        <v>45718</v>
      </c>
      <c r="D693" t="inlineStr">
        <is>
          <t>VÄSTERBOTTENS LÄN</t>
        </is>
      </c>
      <c r="E693" t="inlineStr">
        <is>
          <t>STORUMAN</t>
        </is>
      </c>
      <c r="G693" t="n">
        <v>10</v>
      </c>
      <c r="H693" t="n">
        <v>3</v>
      </c>
      <c r="I693" t="n">
        <v>0</v>
      </c>
      <c r="J693" t="n">
        <v>1</v>
      </c>
      <c r="K693" t="n">
        <v>1</v>
      </c>
      <c r="L693" t="n">
        <v>0</v>
      </c>
      <c r="M693" t="n">
        <v>0</v>
      </c>
      <c r="N693" t="n">
        <v>0</v>
      </c>
      <c r="O693" t="n">
        <v>2</v>
      </c>
      <c r="P693" t="n">
        <v>1</v>
      </c>
      <c r="Q693" t="n">
        <v>3</v>
      </c>
      <c r="R693" s="2" t="inlineStr">
        <is>
          <t>Knärot
Tretåig hackspett
Lavskrika</t>
        </is>
      </c>
      <c r="S693">
        <f>HYPERLINK("https://klasma.github.io/Logging_2421/artfynd/A 40652-2021 artfynd.xlsx", "A 40652-2021")</f>
        <v/>
      </c>
      <c r="T693">
        <f>HYPERLINK("https://klasma.github.io/Logging_2421/kartor/A 40652-2021 karta.png", "A 40652-2021")</f>
        <v/>
      </c>
      <c r="U693">
        <f>HYPERLINK("https://klasma.github.io/Logging_2421/knärot/A 40652-2021 karta knärot.png", "A 40652-2021")</f>
        <v/>
      </c>
      <c r="V693">
        <f>HYPERLINK("https://klasma.github.io/Logging_2421/klagomål/A 40652-2021 FSC-klagomål.docx", "A 40652-2021")</f>
        <v/>
      </c>
      <c r="W693">
        <f>HYPERLINK("https://klasma.github.io/Logging_2421/klagomålsmail/A 40652-2021 FSC-klagomål mail.docx", "A 40652-2021")</f>
        <v/>
      </c>
      <c r="X693">
        <f>HYPERLINK("https://klasma.github.io/Logging_2421/tillsyn/A 40652-2021 tillsynsbegäran.docx", "A 40652-2021")</f>
        <v/>
      </c>
      <c r="Y693">
        <f>HYPERLINK("https://klasma.github.io/Logging_2421/tillsynsmail/A 40652-2021 tillsynsbegäran mail.docx", "A 40652-2021")</f>
        <v/>
      </c>
      <c r="Z693">
        <f>HYPERLINK("https://klasma.github.io/Logging_2421/fåglar/A 40652-2021 prioriterade fågelarter.docx", "A 40652-2021")</f>
        <v/>
      </c>
    </row>
    <row r="694" ht="15" customHeight="1">
      <c r="A694" t="inlineStr">
        <is>
          <t>A 40687-2021</t>
        </is>
      </c>
      <c r="B694" s="1" t="n">
        <v>44420</v>
      </c>
      <c r="C694" s="1" t="n">
        <v>45718</v>
      </c>
      <c r="D694" t="inlineStr">
        <is>
          <t>VÄSTERBOTTENS LÄN</t>
        </is>
      </c>
      <c r="E694" t="inlineStr">
        <is>
          <t>VILHELMINA</t>
        </is>
      </c>
      <c r="G694" t="n">
        <v>5.4</v>
      </c>
      <c r="H694" t="n">
        <v>1</v>
      </c>
      <c r="I694" t="n">
        <v>1</v>
      </c>
      <c r="J694" t="n">
        <v>2</v>
      </c>
      <c r="K694" t="n">
        <v>0</v>
      </c>
      <c r="L694" t="n">
        <v>0</v>
      </c>
      <c r="M694" t="n">
        <v>0</v>
      </c>
      <c r="N694" t="n">
        <v>0</v>
      </c>
      <c r="O694" t="n">
        <v>2</v>
      </c>
      <c r="P694" t="n">
        <v>0</v>
      </c>
      <c r="Q694" t="n">
        <v>3</v>
      </c>
      <c r="R694" s="2" t="inlineStr">
        <is>
          <t>Garnlav
Granticka
Spindelblomster</t>
        </is>
      </c>
      <c r="S694">
        <f>HYPERLINK("https://klasma.github.io/Logging_2462/artfynd/A 40687-2021 artfynd.xlsx", "A 40687-2021")</f>
        <v/>
      </c>
      <c r="T694">
        <f>HYPERLINK("https://klasma.github.io/Logging_2462/kartor/A 40687-2021 karta.png", "A 40687-2021")</f>
        <v/>
      </c>
      <c r="V694">
        <f>HYPERLINK("https://klasma.github.io/Logging_2462/klagomål/A 40687-2021 FSC-klagomål.docx", "A 40687-2021")</f>
        <v/>
      </c>
      <c r="W694">
        <f>HYPERLINK("https://klasma.github.io/Logging_2462/klagomålsmail/A 40687-2021 FSC-klagomål mail.docx", "A 40687-2021")</f>
        <v/>
      </c>
      <c r="X694">
        <f>HYPERLINK("https://klasma.github.io/Logging_2462/tillsyn/A 40687-2021 tillsynsbegäran.docx", "A 40687-2021")</f>
        <v/>
      </c>
      <c r="Y694">
        <f>HYPERLINK("https://klasma.github.io/Logging_2462/tillsynsmail/A 40687-2021 tillsynsbegäran mail.docx", "A 40687-2021")</f>
        <v/>
      </c>
    </row>
    <row r="695" ht="15" customHeight="1">
      <c r="A695" t="inlineStr">
        <is>
          <t>A 41508-2021</t>
        </is>
      </c>
      <c r="B695" s="1" t="n">
        <v>44424</v>
      </c>
      <c r="C695" s="1" t="n">
        <v>45718</v>
      </c>
      <c r="D695" t="inlineStr">
        <is>
          <t>VÄSTERBOTTENS LÄN</t>
        </is>
      </c>
      <c r="E695" t="inlineStr">
        <is>
          <t>SKELLEFTEÅ</t>
        </is>
      </c>
      <c r="F695" t="inlineStr">
        <is>
          <t>SCA</t>
        </is>
      </c>
      <c r="G695" t="n">
        <v>9.800000000000001</v>
      </c>
      <c r="H695" t="n">
        <v>0</v>
      </c>
      <c r="I695" t="n">
        <v>1</v>
      </c>
      <c r="J695" t="n">
        <v>2</v>
      </c>
      <c r="K695" t="n">
        <v>0</v>
      </c>
      <c r="L695" t="n">
        <v>0</v>
      </c>
      <c r="M695" t="n">
        <v>0</v>
      </c>
      <c r="N695" t="n">
        <v>0</v>
      </c>
      <c r="O695" t="n">
        <v>2</v>
      </c>
      <c r="P695" t="n">
        <v>0</v>
      </c>
      <c r="Q695" t="n">
        <v>3</v>
      </c>
      <c r="R695" s="2" t="inlineStr">
        <is>
          <t>Motaggsvamp
Orange taggsvamp
Dropptaggsvamp</t>
        </is>
      </c>
      <c r="S695">
        <f>HYPERLINK("https://klasma.github.io/Logging_2482/artfynd/A 41508-2021 artfynd.xlsx", "A 41508-2021")</f>
        <v/>
      </c>
      <c r="T695">
        <f>HYPERLINK("https://klasma.github.io/Logging_2482/kartor/A 41508-2021 karta.png", "A 41508-2021")</f>
        <v/>
      </c>
      <c r="V695">
        <f>HYPERLINK("https://klasma.github.io/Logging_2482/klagomål/A 41508-2021 FSC-klagomål.docx", "A 41508-2021")</f>
        <v/>
      </c>
      <c r="W695">
        <f>HYPERLINK("https://klasma.github.io/Logging_2482/klagomålsmail/A 41508-2021 FSC-klagomål mail.docx", "A 41508-2021")</f>
        <v/>
      </c>
      <c r="X695">
        <f>HYPERLINK("https://klasma.github.io/Logging_2482/tillsyn/A 41508-2021 tillsynsbegäran.docx", "A 41508-2021")</f>
        <v/>
      </c>
      <c r="Y695">
        <f>HYPERLINK("https://klasma.github.io/Logging_2482/tillsynsmail/A 41508-2021 tillsynsbegäran mail.docx", "A 41508-2021")</f>
        <v/>
      </c>
    </row>
    <row r="696" ht="15" customHeight="1">
      <c r="A696" t="inlineStr">
        <is>
          <t>A 41506-2021</t>
        </is>
      </c>
      <c r="B696" s="1" t="n">
        <v>44425</v>
      </c>
      <c r="C696" s="1" t="n">
        <v>45718</v>
      </c>
      <c r="D696" t="inlineStr">
        <is>
          <t>VÄSTERBOTTENS LÄN</t>
        </is>
      </c>
      <c r="E696" t="inlineStr">
        <is>
          <t>SKELLEFTEÅ</t>
        </is>
      </c>
      <c r="F696" t="inlineStr">
        <is>
          <t>SCA</t>
        </is>
      </c>
      <c r="G696" t="n">
        <v>4.2</v>
      </c>
      <c r="H696" t="n">
        <v>0</v>
      </c>
      <c r="I696" t="n">
        <v>1</v>
      </c>
      <c r="J696" t="n">
        <v>2</v>
      </c>
      <c r="K696" t="n">
        <v>0</v>
      </c>
      <c r="L696" t="n">
        <v>0</v>
      </c>
      <c r="M696" t="n">
        <v>0</v>
      </c>
      <c r="N696" t="n">
        <v>0</v>
      </c>
      <c r="O696" t="n">
        <v>2</v>
      </c>
      <c r="P696" t="n">
        <v>0</v>
      </c>
      <c r="Q696" t="n">
        <v>3</v>
      </c>
      <c r="R696" s="2" t="inlineStr">
        <is>
          <t>Rosenticka
Ullticka
Vedticka</t>
        </is>
      </c>
      <c r="S696">
        <f>HYPERLINK("https://klasma.github.io/Logging_2482/artfynd/A 41506-2021 artfynd.xlsx", "A 41506-2021")</f>
        <v/>
      </c>
      <c r="T696">
        <f>HYPERLINK("https://klasma.github.io/Logging_2482/kartor/A 41506-2021 karta.png", "A 41506-2021")</f>
        <v/>
      </c>
      <c r="V696">
        <f>HYPERLINK("https://klasma.github.io/Logging_2482/klagomål/A 41506-2021 FSC-klagomål.docx", "A 41506-2021")</f>
        <v/>
      </c>
      <c r="W696">
        <f>HYPERLINK("https://klasma.github.io/Logging_2482/klagomålsmail/A 41506-2021 FSC-klagomål mail.docx", "A 41506-2021")</f>
        <v/>
      </c>
      <c r="X696">
        <f>HYPERLINK("https://klasma.github.io/Logging_2482/tillsyn/A 41506-2021 tillsynsbegäran.docx", "A 41506-2021")</f>
        <v/>
      </c>
      <c r="Y696">
        <f>HYPERLINK("https://klasma.github.io/Logging_2482/tillsynsmail/A 41506-2021 tillsynsbegäran mail.docx", "A 41506-2021")</f>
        <v/>
      </c>
    </row>
    <row r="697" ht="15" customHeight="1">
      <c r="A697" t="inlineStr">
        <is>
          <t>A 43272-2021</t>
        </is>
      </c>
      <c r="B697" s="1" t="n">
        <v>44432</v>
      </c>
      <c r="C697" s="1" t="n">
        <v>45718</v>
      </c>
      <c r="D697" t="inlineStr">
        <is>
          <t>VÄSTERBOTTENS LÄN</t>
        </is>
      </c>
      <c r="E697" t="inlineStr">
        <is>
          <t>SORSELE</t>
        </is>
      </c>
      <c r="G697" t="n">
        <v>24.4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HYPERLINK("https://klasma.github.io/Logging_2422/artfynd/A 43272-2021 artfynd.xlsx", "A 43272-2021")</f>
        <v/>
      </c>
      <c r="T697">
        <f>HYPERLINK("https://klasma.github.io/Logging_2422/kartor/A 43272-2021 karta.png", "A 43272-2021")</f>
        <v/>
      </c>
      <c r="V697">
        <f>HYPERLINK("https://klasma.github.io/Logging_2422/klagomål/A 43272-2021 FSC-klagomål.docx", "A 43272-2021")</f>
        <v/>
      </c>
      <c r="W697">
        <f>HYPERLINK("https://klasma.github.io/Logging_2422/klagomålsmail/A 43272-2021 FSC-klagomål mail.docx", "A 43272-2021")</f>
        <v/>
      </c>
      <c r="X697">
        <f>HYPERLINK("https://klasma.github.io/Logging_2422/tillsyn/A 43272-2021 tillsynsbegäran.docx", "A 43272-2021")</f>
        <v/>
      </c>
      <c r="Y697">
        <f>HYPERLINK("https://klasma.github.io/Logging_2422/tillsynsmail/A 43272-2021 tillsynsbegäran mail.docx", "A 43272-2021")</f>
        <v/>
      </c>
      <c r="Z697">
        <f>HYPERLINK("https://klasma.github.io/Logging_2422/fåglar/A 43272-2021 prioriterade fågelarter.docx", "A 43272-2021")</f>
        <v/>
      </c>
    </row>
    <row r="698" ht="15" customHeight="1">
      <c r="A698" t="inlineStr">
        <is>
          <t>A 47498-2021</t>
        </is>
      </c>
      <c r="B698" s="1" t="n">
        <v>44447</v>
      </c>
      <c r="C698" s="1" t="n">
        <v>45718</v>
      </c>
      <c r="D698" t="inlineStr">
        <is>
          <t>VÄSTERBOTTENS LÄN</t>
        </is>
      </c>
      <c r="E698" t="inlineStr">
        <is>
          <t>LYCKSELE</t>
        </is>
      </c>
      <c r="F698" t="inlineStr">
        <is>
          <t>Sveaskog</t>
        </is>
      </c>
      <c r="G698" t="n">
        <v>4.6</v>
      </c>
      <c r="H698" t="n">
        <v>1</v>
      </c>
      <c r="I698" t="n">
        <v>2</v>
      </c>
      <c r="J698" t="n">
        <v>0</v>
      </c>
      <c r="K698" t="n">
        <v>1</v>
      </c>
      <c r="L698" t="n">
        <v>0</v>
      </c>
      <c r="M698" t="n">
        <v>0</v>
      </c>
      <c r="N698" t="n">
        <v>0</v>
      </c>
      <c r="O698" t="n">
        <v>1</v>
      </c>
      <c r="P698" t="n">
        <v>1</v>
      </c>
      <c r="Q698" t="n">
        <v>3</v>
      </c>
      <c r="R698" s="2" t="inlineStr">
        <is>
          <t>Doftticka
Skinnlav
Stuplav</t>
        </is>
      </c>
      <c r="S698">
        <f>HYPERLINK("https://klasma.github.io/Logging_2481/artfynd/A 47498-2021 artfynd.xlsx", "A 47498-2021")</f>
        <v/>
      </c>
      <c r="T698">
        <f>HYPERLINK("https://klasma.github.io/Logging_2481/kartor/A 47498-2021 karta.png", "A 47498-2021")</f>
        <v/>
      </c>
      <c r="V698">
        <f>HYPERLINK("https://klasma.github.io/Logging_2481/klagomål/A 47498-2021 FSC-klagomål.docx", "A 47498-2021")</f>
        <v/>
      </c>
      <c r="W698">
        <f>HYPERLINK("https://klasma.github.io/Logging_2481/klagomålsmail/A 47498-2021 FSC-klagomål mail.docx", "A 47498-2021")</f>
        <v/>
      </c>
      <c r="X698">
        <f>HYPERLINK("https://klasma.github.io/Logging_2481/tillsyn/A 47498-2021 tillsynsbegäran.docx", "A 47498-2021")</f>
        <v/>
      </c>
      <c r="Y698">
        <f>HYPERLINK("https://klasma.github.io/Logging_2481/tillsynsmail/A 47498-2021 tillsynsbegäran mail.docx", "A 47498-2021")</f>
        <v/>
      </c>
    </row>
    <row r="699" ht="15" customHeight="1">
      <c r="A699" t="inlineStr">
        <is>
          <t>A 51644-2021</t>
        </is>
      </c>
      <c r="B699" s="1" t="n">
        <v>44462</v>
      </c>
      <c r="C699" s="1" t="n">
        <v>45718</v>
      </c>
      <c r="D699" t="inlineStr">
        <is>
          <t>VÄSTERBOTTENS LÄN</t>
        </is>
      </c>
      <c r="E699" t="inlineStr">
        <is>
          <t>NORSJÖ</t>
        </is>
      </c>
      <c r="F699" t="inlineStr">
        <is>
          <t>Sveaskog</t>
        </is>
      </c>
      <c r="G699" t="n">
        <v>11.9</v>
      </c>
      <c r="H699" t="n">
        <v>0</v>
      </c>
      <c r="I699" t="n">
        <v>2</v>
      </c>
      <c r="J699" t="n">
        <v>1</v>
      </c>
      <c r="K699" t="n">
        <v>0</v>
      </c>
      <c r="L699" t="n">
        <v>0</v>
      </c>
      <c r="M699" t="n">
        <v>0</v>
      </c>
      <c r="N699" t="n">
        <v>0</v>
      </c>
      <c r="O699" t="n">
        <v>1</v>
      </c>
      <c r="P699" t="n">
        <v>0</v>
      </c>
      <c r="Q699" t="n">
        <v>3</v>
      </c>
      <c r="R699" s="2" t="inlineStr">
        <is>
          <t>Garnlav
Bårdlav
Stuplav</t>
        </is>
      </c>
      <c r="S699">
        <f>HYPERLINK("https://klasma.github.io/Logging_2417/artfynd/A 51644-2021 artfynd.xlsx", "A 51644-2021")</f>
        <v/>
      </c>
      <c r="T699">
        <f>HYPERLINK("https://klasma.github.io/Logging_2417/kartor/A 51644-2021 karta.png", "A 51644-2021")</f>
        <v/>
      </c>
      <c r="V699">
        <f>HYPERLINK("https://klasma.github.io/Logging_2417/klagomål/A 51644-2021 FSC-klagomål.docx", "A 51644-2021")</f>
        <v/>
      </c>
      <c r="W699">
        <f>HYPERLINK("https://klasma.github.io/Logging_2417/klagomålsmail/A 51644-2021 FSC-klagomål mail.docx", "A 51644-2021")</f>
        <v/>
      </c>
      <c r="X699">
        <f>HYPERLINK("https://klasma.github.io/Logging_2417/tillsyn/A 51644-2021 tillsynsbegäran.docx", "A 51644-2021")</f>
        <v/>
      </c>
      <c r="Y699">
        <f>HYPERLINK("https://klasma.github.io/Logging_2417/tillsynsmail/A 51644-2021 tillsynsbegäran mail.docx", "A 51644-2021")</f>
        <v/>
      </c>
    </row>
    <row r="700" ht="15" customHeight="1">
      <c r="A700" t="inlineStr">
        <is>
          <t>A 61172-2021</t>
        </is>
      </c>
      <c r="B700" s="1" t="n">
        <v>44498</v>
      </c>
      <c r="C700" s="1" t="n">
        <v>45718</v>
      </c>
      <c r="D700" t="inlineStr">
        <is>
          <t>VÄSTERBOTTENS LÄN</t>
        </is>
      </c>
      <c r="E700" t="inlineStr">
        <is>
          <t>LYCKSELE</t>
        </is>
      </c>
      <c r="F700" t="inlineStr">
        <is>
          <t>Sveaskog</t>
        </is>
      </c>
      <c r="G700" t="n">
        <v>1.8</v>
      </c>
      <c r="H700" t="n">
        <v>0</v>
      </c>
      <c r="I700" t="n">
        <v>0</v>
      </c>
      <c r="J700" t="n">
        <v>2</v>
      </c>
      <c r="K700" t="n">
        <v>1</v>
      </c>
      <c r="L700" t="n">
        <v>0</v>
      </c>
      <c r="M700" t="n">
        <v>0</v>
      </c>
      <c r="N700" t="n">
        <v>0</v>
      </c>
      <c r="O700" t="n">
        <v>3</v>
      </c>
      <c r="P700" t="n">
        <v>1</v>
      </c>
      <c r="Q700" t="n">
        <v>3</v>
      </c>
      <c r="R700" s="2" t="inlineStr">
        <is>
          <t>Jättemusseron
Kolflarnlav
Nordtagging</t>
        </is>
      </c>
      <c r="S700">
        <f>HYPERLINK("https://klasma.github.io/Logging_2481/artfynd/A 61172-2021 artfynd.xlsx", "A 61172-2021")</f>
        <v/>
      </c>
      <c r="T700">
        <f>HYPERLINK("https://klasma.github.io/Logging_2481/kartor/A 61172-2021 karta.png", "A 61172-2021")</f>
        <v/>
      </c>
      <c r="V700">
        <f>HYPERLINK("https://klasma.github.io/Logging_2481/klagomål/A 61172-2021 FSC-klagomål.docx", "A 61172-2021")</f>
        <v/>
      </c>
      <c r="W700">
        <f>HYPERLINK("https://klasma.github.io/Logging_2481/klagomålsmail/A 61172-2021 FSC-klagomål mail.docx", "A 61172-2021")</f>
        <v/>
      </c>
      <c r="X700">
        <f>HYPERLINK("https://klasma.github.io/Logging_2481/tillsyn/A 61172-2021 tillsynsbegäran.docx", "A 61172-2021")</f>
        <v/>
      </c>
      <c r="Y700">
        <f>HYPERLINK("https://klasma.github.io/Logging_2481/tillsynsmail/A 61172-2021 tillsynsbegäran mail.docx", "A 61172-2021")</f>
        <v/>
      </c>
    </row>
    <row r="701" ht="15" customHeight="1">
      <c r="A701" t="inlineStr">
        <is>
          <t>A 61747-2021</t>
        </is>
      </c>
      <c r="B701" s="1" t="n">
        <v>44501</v>
      </c>
      <c r="C701" s="1" t="n">
        <v>45718</v>
      </c>
      <c r="D701" t="inlineStr">
        <is>
          <t>VÄSTERBOTTENS LÄN</t>
        </is>
      </c>
      <c r="E701" t="inlineStr">
        <is>
          <t>LYCKSELE</t>
        </is>
      </c>
      <c r="F701" t="inlineStr">
        <is>
          <t>Sveaskog</t>
        </is>
      </c>
      <c r="G701" t="n">
        <v>15.1</v>
      </c>
      <c r="H701" t="n">
        <v>0</v>
      </c>
      <c r="I701" t="n">
        <v>2</v>
      </c>
      <c r="J701" t="n">
        <v>1</v>
      </c>
      <c r="K701" t="n">
        <v>0</v>
      </c>
      <c r="L701" t="n">
        <v>0</v>
      </c>
      <c r="M701" t="n">
        <v>0</v>
      </c>
      <c r="N701" t="n">
        <v>0</v>
      </c>
      <c r="O701" t="n">
        <v>1</v>
      </c>
      <c r="P701" t="n">
        <v>0</v>
      </c>
      <c r="Q701" t="n">
        <v>3</v>
      </c>
      <c r="R701" s="2" t="inlineStr">
        <is>
          <t>Vaddporing
Dropptaggsvamp
Fjällig taggsvamp s.str.</t>
        </is>
      </c>
      <c r="S701">
        <f>HYPERLINK("https://klasma.github.io/Logging_2481/artfynd/A 61747-2021 artfynd.xlsx", "A 61747-2021")</f>
        <v/>
      </c>
      <c r="T701">
        <f>HYPERLINK("https://klasma.github.io/Logging_2481/kartor/A 61747-2021 karta.png", "A 61747-2021")</f>
        <v/>
      </c>
      <c r="V701">
        <f>HYPERLINK("https://klasma.github.io/Logging_2481/klagomål/A 61747-2021 FSC-klagomål.docx", "A 61747-2021")</f>
        <v/>
      </c>
      <c r="W701">
        <f>HYPERLINK("https://klasma.github.io/Logging_2481/klagomålsmail/A 61747-2021 FSC-klagomål mail.docx", "A 61747-2021")</f>
        <v/>
      </c>
      <c r="X701">
        <f>HYPERLINK("https://klasma.github.io/Logging_2481/tillsyn/A 61747-2021 tillsynsbegäran.docx", "A 61747-2021")</f>
        <v/>
      </c>
      <c r="Y701">
        <f>HYPERLINK("https://klasma.github.io/Logging_2481/tillsynsmail/A 61747-2021 tillsynsbegäran mail.docx", "A 61747-2021")</f>
        <v/>
      </c>
    </row>
    <row r="702" ht="15" customHeight="1">
      <c r="A702" t="inlineStr">
        <is>
          <t>A 65382-2021</t>
        </is>
      </c>
      <c r="B702" s="1" t="n">
        <v>44515</v>
      </c>
      <c r="C702" s="1" t="n">
        <v>45718</v>
      </c>
      <c r="D702" t="inlineStr">
        <is>
          <t>VÄSTERBOTTENS LÄN</t>
        </is>
      </c>
      <c r="E702" t="inlineStr">
        <is>
          <t>VILHELMINA</t>
        </is>
      </c>
      <c r="G702" t="n">
        <v>10.7</v>
      </c>
      <c r="H702" t="n">
        <v>0</v>
      </c>
      <c r="I702" t="n">
        <v>0</v>
      </c>
      <c r="J702" t="n">
        <v>2</v>
      </c>
      <c r="K702" t="n">
        <v>1</v>
      </c>
      <c r="L702" t="n">
        <v>0</v>
      </c>
      <c r="M702" t="n">
        <v>0</v>
      </c>
      <c r="N702" t="n">
        <v>0</v>
      </c>
      <c r="O702" t="n">
        <v>3</v>
      </c>
      <c r="P702" t="n">
        <v>1</v>
      </c>
      <c r="Q702" t="n">
        <v>3</v>
      </c>
      <c r="R702" s="2" t="inlineStr">
        <is>
          <t>Rynkskinn
Lunglav
Rosenticka</t>
        </is>
      </c>
      <c r="S702">
        <f>HYPERLINK("https://klasma.github.io/Logging_2462/artfynd/A 65382-2021 artfynd.xlsx", "A 65382-2021")</f>
        <v/>
      </c>
      <c r="T702">
        <f>HYPERLINK("https://klasma.github.io/Logging_2462/kartor/A 65382-2021 karta.png", "A 65382-2021")</f>
        <v/>
      </c>
      <c r="V702">
        <f>HYPERLINK("https://klasma.github.io/Logging_2462/klagomål/A 65382-2021 FSC-klagomål.docx", "A 65382-2021")</f>
        <v/>
      </c>
      <c r="W702">
        <f>HYPERLINK("https://klasma.github.io/Logging_2462/klagomålsmail/A 65382-2021 FSC-klagomål mail.docx", "A 65382-2021")</f>
        <v/>
      </c>
      <c r="X702">
        <f>HYPERLINK("https://klasma.github.io/Logging_2462/tillsyn/A 65382-2021 tillsynsbegäran.docx", "A 65382-2021")</f>
        <v/>
      </c>
      <c r="Y702">
        <f>HYPERLINK("https://klasma.github.io/Logging_2462/tillsynsmail/A 65382-2021 tillsynsbegäran mail.docx", "A 65382-2021")</f>
        <v/>
      </c>
    </row>
    <row r="703" ht="15" customHeight="1">
      <c r="A703" t="inlineStr">
        <is>
          <t>A 3412-2022</t>
        </is>
      </c>
      <c r="B703" s="1" t="n">
        <v>44585</v>
      </c>
      <c r="C703" s="1" t="n">
        <v>45718</v>
      </c>
      <c r="D703" t="inlineStr">
        <is>
          <t>VÄSTERBOTTENS LÄN</t>
        </is>
      </c>
      <c r="E703" t="inlineStr">
        <is>
          <t>STORUMAN</t>
        </is>
      </c>
      <c r="G703" t="n">
        <v>0.7</v>
      </c>
      <c r="H703" t="n">
        <v>2</v>
      </c>
      <c r="I703" t="n">
        <v>1</v>
      </c>
      <c r="J703" t="n">
        <v>1</v>
      </c>
      <c r="K703" t="n">
        <v>0</v>
      </c>
      <c r="L703" t="n">
        <v>0</v>
      </c>
      <c r="M703" t="n">
        <v>0</v>
      </c>
      <c r="N703" t="n">
        <v>0</v>
      </c>
      <c r="O703" t="n">
        <v>1</v>
      </c>
      <c r="P703" t="n">
        <v>0</v>
      </c>
      <c r="Q703" t="n">
        <v>3</v>
      </c>
      <c r="R703" s="2" t="inlineStr">
        <is>
          <t>Garnlav
Spindelblomster
Skogsrör</t>
        </is>
      </c>
      <c r="S703">
        <f>HYPERLINK("https://klasma.github.io/Logging_2421/artfynd/A 3412-2022 artfynd.xlsx", "A 3412-2022")</f>
        <v/>
      </c>
      <c r="T703">
        <f>HYPERLINK("https://klasma.github.io/Logging_2421/kartor/A 3412-2022 karta.png", "A 3412-2022")</f>
        <v/>
      </c>
      <c r="V703">
        <f>HYPERLINK("https://klasma.github.io/Logging_2421/klagomål/A 3412-2022 FSC-klagomål.docx", "A 3412-2022")</f>
        <v/>
      </c>
      <c r="W703">
        <f>HYPERLINK("https://klasma.github.io/Logging_2421/klagomålsmail/A 3412-2022 FSC-klagomål mail.docx", "A 3412-2022")</f>
        <v/>
      </c>
      <c r="X703">
        <f>HYPERLINK("https://klasma.github.io/Logging_2421/tillsyn/A 3412-2022 tillsynsbegäran.docx", "A 3412-2022")</f>
        <v/>
      </c>
      <c r="Y703">
        <f>HYPERLINK("https://klasma.github.io/Logging_2421/tillsynsmail/A 3412-2022 tillsynsbegäran mail.docx", "A 3412-2022")</f>
        <v/>
      </c>
    </row>
    <row r="704" ht="15" customHeight="1">
      <c r="A704" t="inlineStr">
        <is>
          <t>A 4245-2022</t>
        </is>
      </c>
      <c r="B704" s="1" t="n">
        <v>44588</v>
      </c>
      <c r="C704" s="1" t="n">
        <v>45718</v>
      </c>
      <c r="D704" t="inlineStr">
        <is>
          <t>VÄSTERBOTTENS LÄN</t>
        </is>
      </c>
      <c r="E704" t="inlineStr">
        <is>
          <t>SKELLEFTEÅ</t>
        </is>
      </c>
      <c r="G704" t="n">
        <v>0.2</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HYPERLINK("https://klasma.github.io/Logging_2482/artfynd/A 4245-2022 artfynd.xlsx", "A 4245-2022")</f>
        <v/>
      </c>
      <c r="T704">
        <f>HYPERLINK("https://klasma.github.io/Logging_2482/kartor/A 4245-2022 karta.png", "A 4245-2022")</f>
        <v/>
      </c>
      <c r="V704">
        <f>HYPERLINK("https://klasma.github.io/Logging_2482/klagomål/A 4245-2022 FSC-klagomål.docx", "A 4245-2022")</f>
        <v/>
      </c>
      <c r="W704">
        <f>HYPERLINK("https://klasma.github.io/Logging_2482/klagomålsmail/A 4245-2022 FSC-klagomål mail.docx", "A 4245-2022")</f>
        <v/>
      </c>
      <c r="X704">
        <f>HYPERLINK("https://klasma.github.io/Logging_2482/tillsyn/A 4245-2022 tillsynsbegäran.docx", "A 4245-2022")</f>
        <v/>
      </c>
      <c r="Y704">
        <f>HYPERLINK("https://klasma.github.io/Logging_2482/tillsynsmail/A 4245-2022 tillsynsbegäran mail.docx", "A 4245-2022")</f>
        <v/>
      </c>
    </row>
    <row r="705" ht="15" customHeight="1">
      <c r="A705" t="inlineStr">
        <is>
          <t>A 9195-2022</t>
        </is>
      </c>
      <c r="B705" s="1" t="n">
        <v>44615</v>
      </c>
      <c r="C705" s="1" t="n">
        <v>45718</v>
      </c>
      <c r="D705" t="inlineStr">
        <is>
          <t>VÄSTERBOTTENS LÄN</t>
        </is>
      </c>
      <c r="E705" t="inlineStr">
        <is>
          <t>UMEÅ</t>
        </is>
      </c>
      <c r="G705" t="n">
        <v>2</v>
      </c>
      <c r="H705" t="n">
        <v>1</v>
      </c>
      <c r="I705" t="n">
        <v>1</v>
      </c>
      <c r="J705" t="n">
        <v>2</v>
      </c>
      <c r="K705" t="n">
        <v>0</v>
      </c>
      <c r="L705" t="n">
        <v>0</v>
      </c>
      <c r="M705" t="n">
        <v>0</v>
      </c>
      <c r="N705" t="n">
        <v>0</v>
      </c>
      <c r="O705" t="n">
        <v>2</v>
      </c>
      <c r="P705" t="n">
        <v>0</v>
      </c>
      <c r="Q705" t="n">
        <v>3</v>
      </c>
      <c r="R705" s="2" t="inlineStr">
        <is>
          <t>Lunglav
Talltita
Skinnlav</t>
        </is>
      </c>
      <c r="S705">
        <f>HYPERLINK("https://klasma.github.io/Logging_2480/artfynd/A 9195-2022 artfynd.xlsx", "A 9195-2022")</f>
        <v/>
      </c>
      <c r="T705">
        <f>HYPERLINK("https://klasma.github.io/Logging_2480/kartor/A 9195-2022 karta.png", "A 9195-2022")</f>
        <v/>
      </c>
      <c r="V705">
        <f>HYPERLINK("https://klasma.github.io/Logging_2480/klagomål/A 9195-2022 FSC-klagomål.docx", "A 9195-2022")</f>
        <v/>
      </c>
      <c r="W705">
        <f>HYPERLINK("https://klasma.github.io/Logging_2480/klagomålsmail/A 9195-2022 FSC-klagomål mail.docx", "A 9195-2022")</f>
        <v/>
      </c>
      <c r="X705">
        <f>HYPERLINK("https://klasma.github.io/Logging_2480/tillsyn/A 9195-2022 tillsynsbegäran.docx", "A 9195-2022")</f>
        <v/>
      </c>
      <c r="Y705">
        <f>HYPERLINK("https://klasma.github.io/Logging_2480/tillsynsmail/A 9195-2022 tillsynsbegäran mail.docx", "A 9195-2022")</f>
        <v/>
      </c>
      <c r="Z705">
        <f>HYPERLINK("https://klasma.github.io/Logging_2480/fåglar/A 9195-2022 prioriterade fågelarter.docx", "A 9195-2022")</f>
        <v/>
      </c>
    </row>
    <row r="706" ht="15" customHeight="1">
      <c r="A706" t="inlineStr">
        <is>
          <t>A 13604-2022</t>
        </is>
      </c>
      <c r="B706" s="1" t="n">
        <v>44648</v>
      </c>
      <c r="C706" s="1" t="n">
        <v>45718</v>
      </c>
      <c r="D706" t="inlineStr">
        <is>
          <t>VÄSTERBOTTENS LÄN</t>
        </is>
      </c>
      <c r="E706" t="inlineStr">
        <is>
          <t>VILHELMINA</t>
        </is>
      </c>
      <c r="G706" t="n">
        <v>17.4</v>
      </c>
      <c r="H706" t="n">
        <v>2</v>
      </c>
      <c r="I706" t="n">
        <v>1</v>
      </c>
      <c r="J706" t="n">
        <v>0</v>
      </c>
      <c r="K706" t="n">
        <v>0</v>
      </c>
      <c r="L706" t="n">
        <v>0</v>
      </c>
      <c r="M706" t="n">
        <v>0</v>
      </c>
      <c r="N706" t="n">
        <v>0</v>
      </c>
      <c r="O706" t="n">
        <v>0</v>
      </c>
      <c r="P706" t="n">
        <v>0</v>
      </c>
      <c r="Q706" t="n">
        <v>3</v>
      </c>
      <c r="R706" s="2" t="inlineStr">
        <is>
          <t>Maskfingersvamp
Hökuggla
Fläcknycklar</t>
        </is>
      </c>
      <c r="S706">
        <f>HYPERLINK("https://klasma.github.io/Logging_2462/artfynd/A 13604-2022 artfynd.xlsx", "A 13604-2022")</f>
        <v/>
      </c>
      <c r="T706">
        <f>HYPERLINK("https://klasma.github.io/Logging_2462/kartor/A 13604-2022 karta.png", "A 13604-2022")</f>
        <v/>
      </c>
      <c r="V706">
        <f>HYPERLINK("https://klasma.github.io/Logging_2462/klagomål/A 13604-2022 FSC-klagomål.docx", "A 13604-2022")</f>
        <v/>
      </c>
      <c r="W706">
        <f>HYPERLINK("https://klasma.github.io/Logging_2462/klagomålsmail/A 13604-2022 FSC-klagomål mail.docx", "A 13604-2022")</f>
        <v/>
      </c>
      <c r="X706">
        <f>HYPERLINK("https://klasma.github.io/Logging_2462/tillsyn/A 13604-2022 tillsynsbegäran.docx", "A 13604-2022")</f>
        <v/>
      </c>
      <c r="Y706">
        <f>HYPERLINK("https://klasma.github.io/Logging_2462/tillsynsmail/A 13604-2022 tillsynsbegäran mail.docx", "A 13604-2022")</f>
        <v/>
      </c>
      <c r="Z706">
        <f>HYPERLINK("https://klasma.github.io/Logging_2462/fåglar/A 13604-2022 prioriterade fågelarter.docx", "A 13604-2022")</f>
        <v/>
      </c>
    </row>
    <row r="707" ht="15" customHeight="1">
      <c r="A707" t="inlineStr">
        <is>
          <t>A 14498-2022</t>
        </is>
      </c>
      <c r="B707" s="1" t="n">
        <v>44655</v>
      </c>
      <c r="C707" s="1" t="n">
        <v>45718</v>
      </c>
      <c r="D707" t="inlineStr">
        <is>
          <t>VÄSTERBOTTENS LÄN</t>
        </is>
      </c>
      <c r="E707" t="inlineStr">
        <is>
          <t>SKELLEFTEÅ</t>
        </is>
      </c>
      <c r="G707" t="n">
        <v>8.6</v>
      </c>
      <c r="H707" t="n">
        <v>0</v>
      </c>
      <c r="I707" t="n">
        <v>0</v>
      </c>
      <c r="J707" t="n">
        <v>3</v>
      </c>
      <c r="K707" t="n">
        <v>0</v>
      </c>
      <c r="L707" t="n">
        <v>0</v>
      </c>
      <c r="M707" t="n">
        <v>0</v>
      </c>
      <c r="N707" t="n">
        <v>0</v>
      </c>
      <c r="O707" t="n">
        <v>3</v>
      </c>
      <c r="P707" t="n">
        <v>0</v>
      </c>
      <c r="Q707" t="n">
        <v>3</v>
      </c>
      <c r="R707" s="2" t="inlineStr">
        <is>
          <t>Garnlav
Granticka
Ullticka</t>
        </is>
      </c>
      <c r="S707">
        <f>HYPERLINK("https://klasma.github.io/Logging_2482/artfynd/A 14498-2022 artfynd.xlsx", "A 14498-2022")</f>
        <v/>
      </c>
      <c r="T707">
        <f>HYPERLINK("https://klasma.github.io/Logging_2482/kartor/A 14498-2022 karta.png", "A 14498-2022")</f>
        <v/>
      </c>
      <c r="V707">
        <f>HYPERLINK("https://klasma.github.io/Logging_2482/klagomål/A 14498-2022 FSC-klagomål.docx", "A 14498-2022")</f>
        <v/>
      </c>
      <c r="W707">
        <f>HYPERLINK("https://klasma.github.io/Logging_2482/klagomålsmail/A 14498-2022 FSC-klagomål mail.docx", "A 14498-2022")</f>
        <v/>
      </c>
      <c r="X707">
        <f>HYPERLINK("https://klasma.github.io/Logging_2482/tillsyn/A 14498-2022 tillsynsbegäran.docx", "A 14498-2022")</f>
        <v/>
      </c>
      <c r="Y707">
        <f>HYPERLINK("https://klasma.github.io/Logging_2482/tillsynsmail/A 14498-2022 tillsynsbegäran mail.docx", "A 14498-2022")</f>
        <v/>
      </c>
    </row>
    <row r="708" ht="15" customHeight="1">
      <c r="A708" t="inlineStr">
        <is>
          <t>A 19803-2022</t>
        </is>
      </c>
      <c r="B708" s="1" t="n">
        <v>44694</v>
      </c>
      <c r="C708" s="1" t="n">
        <v>45718</v>
      </c>
      <c r="D708" t="inlineStr">
        <is>
          <t>VÄSTERBOTTENS LÄN</t>
        </is>
      </c>
      <c r="E708" t="inlineStr">
        <is>
          <t>SKELLEFTEÅ</t>
        </is>
      </c>
      <c r="F708" t="inlineStr">
        <is>
          <t>SCA</t>
        </is>
      </c>
      <c r="G708" t="n">
        <v>5.6</v>
      </c>
      <c r="H708" t="n">
        <v>1</v>
      </c>
      <c r="I708" t="n">
        <v>0</v>
      </c>
      <c r="J708" t="n">
        <v>3</v>
      </c>
      <c r="K708" t="n">
        <v>0</v>
      </c>
      <c r="L708" t="n">
        <v>0</v>
      </c>
      <c r="M708" t="n">
        <v>0</v>
      </c>
      <c r="N708" t="n">
        <v>0</v>
      </c>
      <c r="O708" t="n">
        <v>3</v>
      </c>
      <c r="P708" t="n">
        <v>0</v>
      </c>
      <c r="Q708" t="n">
        <v>3</v>
      </c>
      <c r="R708" s="2" t="inlineStr">
        <is>
          <t>Rosenticka
Spillkråka
Vitgrynig nållav</t>
        </is>
      </c>
      <c r="S708">
        <f>HYPERLINK("https://klasma.github.io/Logging_2482/artfynd/A 19803-2022 artfynd.xlsx", "A 19803-2022")</f>
        <v/>
      </c>
      <c r="T708">
        <f>HYPERLINK("https://klasma.github.io/Logging_2482/kartor/A 19803-2022 karta.png", "A 19803-2022")</f>
        <v/>
      </c>
      <c r="V708">
        <f>HYPERLINK("https://klasma.github.io/Logging_2482/klagomål/A 19803-2022 FSC-klagomål.docx", "A 19803-2022")</f>
        <v/>
      </c>
      <c r="W708">
        <f>HYPERLINK("https://klasma.github.io/Logging_2482/klagomålsmail/A 19803-2022 FSC-klagomål mail.docx", "A 19803-2022")</f>
        <v/>
      </c>
      <c r="X708">
        <f>HYPERLINK("https://klasma.github.io/Logging_2482/tillsyn/A 19803-2022 tillsynsbegäran.docx", "A 19803-2022")</f>
        <v/>
      </c>
      <c r="Y708">
        <f>HYPERLINK("https://klasma.github.io/Logging_2482/tillsynsmail/A 19803-2022 tillsynsbegäran mail.docx", "A 19803-2022")</f>
        <v/>
      </c>
      <c r="Z708">
        <f>HYPERLINK("https://klasma.github.io/Logging_2482/fåglar/A 19803-2022 prioriterade fågelarter.docx", "A 19803-2022")</f>
        <v/>
      </c>
    </row>
    <row r="709" ht="15" customHeight="1">
      <c r="A709" t="inlineStr">
        <is>
          <t>A 20434-2022</t>
        </is>
      </c>
      <c r="B709" s="1" t="n">
        <v>44699</v>
      </c>
      <c r="C709" s="1" t="n">
        <v>45718</v>
      </c>
      <c r="D709" t="inlineStr">
        <is>
          <t>VÄSTERBOTTENS LÄN</t>
        </is>
      </c>
      <c r="E709" t="inlineStr">
        <is>
          <t>STORUMAN</t>
        </is>
      </c>
      <c r="G709" t="n">
        <v>5.6</v>
      </c>
      <c r="H709" t="n">
        <v>3</v>
      </c>
      <c r="I709" t="n">
        <v>0</v>
      </c>
      <c r="J709" t="n">
        <v>2</v>
      </c>
      <c r="K709" t="n">
        <v>1</v>
      </c>
      <c r="L709" t="n">
        <v>0</v>
      </c>
      <c r="M709" t="n">
        <v>0</v>
      </c>
      <c r="N709" t="n">
        <v>0</v>
      </c>
      <c r="O709" t="n">
        <v>3</v>
      </c>
      <c r="P709" t="n">
        <v>1</v>
      </c>
      <c r="Q709" t="n">
        <v>3</v>
      </c>
      <c r="R709" s="2" t="inlineStr">
        <is>
          <t>Knärot
Spillkråka
Tretåig hackspett</t>
        </is>
      </c>
      <c r="S709">
        <f>HYPERLINK("https://klasma.github.io/Logging_2421/artfynd/A 20434-2022 artfynd.xlsx", "A 20434-2022")</f>
        <v/>
      </c>
      <c r="T709">
        <f>HYPERLINK("https://klasma.github.io/Logging_2421/kartor/A 20434-2022 karta.png", "A 20434-2022")</f>
        <v/>
      </c>
      <c r="U709">
        <f>HYPERLINK("https://klasma.github.io/Logging_2421/knärot/A 20434-2022 karta knärot.png", "A 20434-2022")</f>
        <v/>
      </c>
      <c r="V709">
        <f>HYPERLINK("https://klasma.github.io/Logging_2421/klagomål/A 20434-2022 FSC-klagomål.docx", "A 20434-2022")</f>
        <v/>
      </c>
      <c r="W709">
        <f>HYPERLINK("https://klasma.github.io/Logging_2421/klagomålsmail/A 20434-2022 FSC-klagomål mail.docx", "A 20434-2022")</f>
        <v/>
      </c>
      <c r="X709">
        <f>HYPERLINK("https://klasma.github.io/Logging_2421/tillsyn/A 20434-2022 tillsynsbegäran.docx", "A 20434-2022")</f>
        <v/>
      </c>
      <c r="Y709">
        <f>HYPERLINK("https://klasma.github.io/Logging_2421/tillsynsmail/A 20434-2022 tillsynsbegäran mail.docx", "A 20434-2022")</f>
        <v/>
      </c>
      <c r="Z709">
        <f>HYPERLINK("https://klasma.github.io/Logging_2421/fåglar/A 20434-2022 prioriterade fågelarter.docx", "A 20434-2022")</f>
        <v/>
      </c>
    </row>
    <row r="710" ht="15" customHeight="1">
      <c r="A710" t="inlineStr">
        <is>
          <t>A 22607-2022</t>
        </is>
      </c>
      <c r="B710" s="1" t="n">
        <v>44714</v>
      </c>
      <c r="C710" s="1" t="n">
        <v>45718</v>
      </c>
      <c r="D710" t="inlineStr">
        <is>
          <t>VÄSTERBOTTENS LÄN</t>
        </is>
      </c>
      <c r="E710" t="inlineStr">
        <is>
          <t>UMEÅ</t>
        </is>
      </c>
      <c r="G710" t="n">
        <v>3.1</v>
      </c>
      <c r="H710" t="n">
        <v>1</v>
      </c>
      <c r="I710" t="n">
        <v>1</v>
      </c>
      <c r="J710" t="n">
        <v>2</v>
      </c>
      <c r="K710" t="n">
        <v>0</v>
      </c>
      <c r="L710" t="n">
        <v>0</v>
      </c>
      <c r="M710" t="n">
        <v>0</v>
      </c>
      <c r="N710" t="n">
        <v>0</v>
      </c>
      <c r="O710" t="n">
        <v>2</v>
      </c>
      <c r="P710" t="n">
        <v>0</v>
      </c>
      <c r="Q710" t="n">
        <v>3</v>
      </c>
      <c r="R710" s="2" t="inlineStr">
        <is>
          <t>Gammelgransskål
Tretåig hackspett
Vedticka</t>
        </is>
      </c>
      <c r="S710">
        <f>HYPERLINK("https://klasma.github.io/Logging_2480/artfynd/A 22607-2022 artfynd.xlsx", "A 22607-2022")</f>
        <v/>
      </c>
      <c r="T710">
        <f>HYPERLINK("https://klasma.github.io/Logging_2480/kartor/A 22607-2022 karta.png", "A 22607-2022")</f>
        <v/>
      </c>
      <c r="V710">
        <f>HYPERLINK("https://klasma.github.io/Logging_2480/klagomål/A 22607-2022 FSC-klagomål.docx", "A 22607-2022")</f>
        <v/>
      </c>
      <c r="W710">
        <f>HYPERLINK("https://klasma.github.io/Logging_2480/klagomålsmail/A 22607-2022 FSC-klagomål mail.docx", "A 22607-2022")</f>
        <v/>
      </c>
      <c r="X710">
        <f>HYPERLINK("https://klasma.github.io/Logging_2480/tillsyn/A 22607-2022 tillsynsbegäran.docx", "A 22607-2022")</f>
        <v/>
      </c>
      <c r="Y710">
        <f>HYPERLINK("https://klasma.github.io/Logging_2480/tillsynsmail/A 22607-2022 tillsynsbegäran mail.docx", "A 22607-2022")</f>
        <v/>
      </c>
      <c r="Z710">
        <f>HYPERLINK("https://klasma.github.io/Logging_2480/fåglar/A 22607-2022 prioriterade fågelarter.docx", "A 22607-2022")</f>
        <v/>
      </c>
    </row>
    <row r="711" ht="15" customHeight="1">
      <c r="A711" t="inlineStr">
        <is>
          <t>A 25503-2022</t>
        </is>
      </c>
      <c r="B711" s="1" t="n">
        <v>44732</v>
      </c>
      <c r="C711" s="1" t="n">
        <v>45718</v>
      </c>
      <c r="D711" t="inlineStr">
        <is>
          <t>VÄSTERBOTTENS LÄN</t>
        </is>
      </c>
      <c r="E711" t="inlineStr">
        <is>
          <t>VILHELMINA</t>
        </is>
      </c>
      <c r="G711" t="n">
        <v>1.9</v>
      </c>
      <c r="H711" t="n">
        <v>0</v>
      </c>
      <c r="I711" t="n">
        <v>3</v>
      </c>
      <c r="J711" t="n">
        <v>0</v>
      </c>
      <c r="K711" t="n">
        <v>0</v>
      </c>
      <c r="L711" t="n">
        <v>0</v>
      </c>
      <c r="M711" t="n">
        <v>0</v>
      </c>
      <c r="N711" t="n">
        <v>0</v>
      </c>
      <c r="O711" t="n">
        <v>0</v>
      </c>
      <c r="P711" t="n">
        <v>0</v>
      </c>
      <c r="Q711" t="n">
        <v>3</v>
      </c>
      <c r="R711" s="2" t="inlineStr">
        <is>
          <t>Gulnål
Skinnlav
Stuplav</t>
        </is>
      </c>
      <c r="S711">
        <f>HYPERLINK("https://klasma.github.io/Logging_2462/artfynd/A 25503-2022 artfynd.xlsx", "A 25503-2022")</f>
        <v/>
      </c>
      <c r="T711">
        <f>HYPERLINK("https://klasma.github.io/Logging_2462/kartor/A 25503-2022 karta.png", "A 25503-2022")</f>
        <v/>
      </c>
      <c r="V711">
        <f>HYPERLINK("https://klasma.github.io/Logging_2462/klagomål/A 25503-2022 FSC-klagomål.docx", "A 25503-2022")</f>
        <v/>
      </c>
      <c r="W711">
        <f>HYPERLINK("https://klasma.github.io/Logging_2462/klagomålsmail/A 25503-2022 FSC-klagomål mail.docx", "A 25503-2022")</f>
        <v/>
      </c>
      <c r="X711">
        <f>HYPERLINK("https://klasma.github.io/Logging_2462/tillsyn/A 25503-2022 tillsynsbegäran.docx", "A 25503-2022")</f>
        <v/>
      </c>
      <c r="Y711">
        <f>HYPERLINK("https://klasma.github.io/Logging_2462/tillsynsmail/A 25503-2022 tillsynsbegäran mail.docx", "A 25503-2022")</f>
        <v/>
      </c>
    </row>
    <row r="712" ht="15" customHeight="1">
      <c r="A712" t="inlineStr">
        <is>
          <t>A 28420-2022</t>
        </is>
      </c>
      <c r="B712" s="1" t="n">
        <v>44747</v>
      </c>
      <c r="C712" s="1" t="n">
        <v>45718</v>
      </c>
      <c r="D712" t="inlineStr">
        <is>
          <t>VÄSTERBOTTENS LÄN</t>
        </is>
      </c>
      <c r="E712" t="inlineStr">
        <is>
          <t>LYCKSELE</t>
        </is>
      </c>
      <c r="G712" t="n">
        <v>6.4</v>
      </c>
      <c r="H712" t="n">
        <v>0</v>
      </c>
      <c r="I712" t="n">
        <v>2</v>
      </c>
      <c r="J712" t="n">
        <v>1</v>
      </c>
      <c r="K712" t="n">
        <v>0</v>
      </c>
      <c r="L712" t="n">
        <v>0</v>
      </c>
      <c r="M712" t="n">
        <v>0</v>
      </c>
      <c r="N712" t="n">
        <v>0</v>
      </c>
      <c r="O712" t="n">
        <v>1</v>
      </c>
      <c r="P712" t="n">
        <v>0</v>
      </c>
      <c r="Q712" t="n">
        <v>3</v>
      </c>
      <c r="R712" s="2" t="inlineStr">
        <is>
          <t>Lunglav
Luddlav
Stuplav</t>
        </is>
      </c>
      <c r="S712">
        <f>HYPERLINK("https://klasma.github.io/Logging_2481/artfynd/A 28420-2022 artfynd.xlsx", "A 28420-2022")</f>
        <v/>
      </c>
      <c r="T712">
        <f>HYPERLINK("https://klasma.github.io/Logging_2481/kartor/A 28420-2022 karta.png", "A 28420-2022")</f>
        <v/>
      </c>
      <c r="V712">
        <f>HYPERLINK("https://klasma.github.io/Logging_2481/klagomål/A 28420-2022 FSC-klagomål.docx", "A 28420-2022")</f>
        <v/>
      </c>
      <c r="W712">
        <f>HYPERLINK("https://klasma.github.io/Logging_2481/klagomålsmail/A 28420-2022 FSC-klagomål mail.docx", "A 28420-2022")</f>
        <v/>
      </c>
      <c r="X712">
        <f>HYPERLINK("https://klasma.github.io/Logging_2481/tillsyn/A 28420-2022 tillsynsbegäran.docx", "A 28420-2022")</f>
        <v/>
      </c>
      <c r="Y712">
        <f>HYPERLINK("https://klasma.github.io/Logging_2481/tillsynsmail/A 28420-2022 tillsynsbegäran mail.docx", "A 28420-2022")</f>
        <v/>
      </c>
    </row>
    <row r="713" ht="15" customHeight="1">
      <c r="A713" t="inlineStr">
        <is>
          <t>A 40987-2022</t>
        </is>
      </c>
      <c r="B713" s="1" t="n">
        <v>44823</v>
      </c>
      <c r="C713" s="1" t="n">
        <v>45718</v>
      </c>
      <c r="D713" t="inlineStr">
        <is>
          <t>VÄSTERBOTTENS LÄN</t>
        </is>
      </c>
      <c r="E713" t="inlineStr">
        <is>
          <t>SKELLEFTEÅ</t>
        </is>
      </c>
      <c r="G713" t="n">
        <v>7.1</v>
      </c>
      <c r="H713" t="n">
        <v>0</v>
      </c>
      <c r="I713" t="n">
        <v>2</v>
      </c>
      <c r="J713" t="n">
        <v>1</v>
      </c>
      <c r="K713" t="n">
        <v>0</v>
      </c>
      <c r="L713" t="n">
        <v>0</v>
      </c>
      <c r="M713" t="n">
        <v>0</v>
      </c>
      <c r="N713" t="n">
        <v>0</v>
      </c>
      <c r="O713" t="n">
        <v>1</v>
      </c>
      <c r="P713" t="n">
        <v>0</v>
      </c>
      <c r="Q713" t="n">
        <v>3</v>
      </c>
      <c r="R713" s="2" t="inlineStr">
        <is>
          <t>Blå taggsvamp
Bårdlav
Norrlandslav</t>
        </is>
      </c>
      <c r="S713">
        <f>HYPERLINK("https://klasma.github.io/Logging_2482/artfynd/A 40987-2022 artfynd.xlsx", "A 40987-2022")</f>
        <v/>
      </c>
      <c r="T713">
        <f>HYPERLINK("https://klasma.github.io/Logging_2482/kartor/A 40987-2022 karta.png", "A 40987-2022")</f>
        <v/>
      </c>
      <c r="V713">
        <f>HYPERLINK("https://klasma.github.io/Logging_2482/klagomål/A 40987-2022 FSC-klagomål.docx", "A 40987-2022")</f>
        <v/>
      </c>
      <c r="W713">
        <f>HYPERLINK("https://klasma.github.io/Logging_2482/klagomålsmail/A 40987-2022 FSC-klagomål mail.docx", "A 40987-2022")</f>
        <v/>
      </c>
      <c r="X713">
        <f>HYPERLINK("https://klasma.github.io/Logging_2482/tillsyn/A 40987-2022 tillsynsbegäran.docx", "A 40987-2022")</f>
        <v/>
      </c>
      <c r="Y713">
        <f>HYPERLINK("https://klasma.github.io/Logging_2482/tillsynsmail/A 40987-2022 tillsynsbegäran mail.docx", "A 40987-2022")</f>
        <v/>
      </c>
    </row>
    <row r="714" ht="15" customHeight="1">
      <c r="A714" t="inlineStr">
        <is>
          <t>A 41412-2022</t>
        </is>
      </c>
      <c r="B714" s="1" t="n">
        <v>44826</v>
      </c>
      <c r="C714" s="1" t="n">
        <v>45718</v>
      </c>
      <c r="D714" t="inlineStr">
        <is>
          <t>VÄSTERBOTTENS LÄN</t>
        </is>
      </c>
      <c r="E714" t="inlineStr">
        <is>
          <t>SKELLEFTEÅ</t>
        </is>
      </c>
      <c r="G714" t="n">
        <v>2.6</v>
      </c>
      <c r="H714" t="n">
        <v>0</v>
      </c>
      <c r="I714" t="n">
        <v>1</v>
      </c>
      <c r="J714" t="n">
        <v>2</v>
      </c>
      <c r="K714" t="n">
        <v>0</v>
      </c>
      <c r="L714" t="n">
        <v>0</v>
      </c>
      <c r="M714" t="n">
        <v>0</v>
      </c>
      <c r="N714" t="n">
        <v>0</v>
      </c>
      <c r="O714" t="n">
        <v>2</v>
      </c>
      <c r="P714" t="n">
        <v>0</v>
      </c>
      <c r="Q714" t="n">
        <v>3</v>
      </c>
      <c r="R714" s="2" t="inlineStr">
        <is>
          <t>Gränsticka
Ullticka
Vedticka</t>
        </is>
      </c>
      <c r="S714">
        <f>HYPERLINK("https://klasma.github.io/Logging_2482/artfynd/A 41412-2022 artfynd.xlsx", "A 41412-2022")</f>
        <v/>
      </c>
      <c r="T714">
        <f>HYPERLINK("https://klasma.github.io/Logging_2482/kartor/A 41412-2022 karta.png", "A 41412-2022")</f>
        <v/>
      </c>
      <c r="V714">
        <f>HYPERLINK("https://klasma.github.io/Logging_2482/klagomål/A 41412-2022 FSC-klagomål.docx", "A 41412-2022")</f>
        <v/>
      </c>
      <c r="W714">
        <f>HYPERLINK("https://klasma.github.io/Logging_2482/klagomålsmail/A 41412-2022 FSC-klagomål mail.docx", "A 41412-2022")</f>
        <v/>
      </c>
      <c r="X714">
        <f>HYPERLINK("https://klasma.github.io/Logging_2482/tillsyn/A 41412-2022 tillsynsbegäran.docx", "A 41412-2022")</f>
        <v/>
      </c>
      <c r="Y714">
        <f>HYPERLINK("https://klasma.github.io/Logging_2482/tillsynsmail/A 41412-2022 tillsynsbegäran mail.docx", "A 41412-2022")</f>
        <v/>
      </c>
    </row>
    <row r="715" ht="15" customHeight="1">
      <c r="A715" t="inlineStr">
        <is>
          <t>A 42687-2022</t>
        </is>
      </c>
      <c r="B715" s="1" t="n">
        <v>44831</v>
      </c>
      <c r="C715" s="1" t="n">
        <v>45718</v>
      </c>
      <c r="D715" t="inlineStr">
        <is>
          <t>VÄSTERBOTTENS LÄN</t>
        </is>
      </c>
      <c r="E715" t="inlineStr">
        <is>
          <t>SKELLEFTEÅ</t>
        </is>
      </c>
      <c r="G715" t="n">
        <v>2.7</v>
      </c>
      <c r="H715" t="n">
        <v>0</v>
      </c>
      <c r="I715" t="n">
        <v>0</v>
      </c>
      <c r="J715" t="n">
        <v>3</v>
      </c>
      <c r="K715" t="n">
        <v>0</v>
      </c>
      <c r="L715" t="n">
        <v>0</v>
      </c>
      <c r="M715" t="n">
        <v>0</v>
      </c>
      <c r="N715" t="n">
        <v>0</v>
      </c>
      <c r="O715" t="n">
        <v>3</v>
      </c>
      <c r="P715" t="n">
        <v>0</v>
      </c>
      <c r="Q715" t="n">
        <v>3</v>
      </c>
      <c r="R715" s="2" t="inlineStr">
        <is>
          <t>Granticka
Stjärntagging
Ullticka</t>
        </is>
      </c>
      <c r="S715">
        <f>HYPERLINK("https://klasma.github.io/Logging_2482/artfynd/A 42687-2022 artfynd.xlsx", "A 42687-2022")</f>
        <v/>
      </c>
      <c r="T715">
        <f>HYPERLINK("https://klasma.github.io/Logging_2482/kartor/A 42687-2022 karta.png", "A 42687-2022")</f>
        <v/>
      </c>
      <c r="V715">
        <f>HYPERLINK("https://klasma.github.io/Logging_2482/klagomål/A 42687-2022 FSC-klagomål.docx", "A 42687-2022")</f>
        <v/>
      </c>
      <c r="W715">
        <f>HYPERLINK("https://klasma.github.io/Logging_2482/klagomålsmail/A 42687-2022 FSC-klagomål mail.docx", "A 42687-2022")</f>
        <v/>
      </c>
      <c r="X715">
        <f>HYPERLINK("https://klasma.github.io/Logging_2482/tillsyn/A 42687-2022 tillsynsbegäran.docx", "A 42687-2022")</f>
        <v/>
      </c>
      <c r="Y715">
        <f>HYPERLINK("https://klasma.github.io/Logging_2482/tillsynsmail/A 42687-2022 tillsynsbegäran mail.docx", "A 42687-2022")</f>
        <v/>
      </c>
    </row>
    <row r="716" ht="15" customHeight="1">
      <c r="A716" t="inlineStr">
        <is>
          <t>A 46088-2022</t>
        </is>
      </c>
      <c r="B716" s="1" t="n">
        <v>44845</v>
      </c>
      <c r="C716" s="1" t="n">
        <v>45718</v>
      </c>
      <c r="D716" t="inlineStr">
        <is>
          <t>VÄSTERBOTTENS LÄN</t>
        </is>
      </c>
      <c r="E716" t="inlineStr">
        <is>
          <t>SORSELE</t>
        </is>
      </c>
      <c r="G716" t="n">
        <v>3.1</v>
      </c>
      <c r="H716" t="n">
        <v>1</v>
      </c>
      <c r="I716" t="n">
        <v>0</v>
      </c>
      <c r="J716" t="n">
        <v>2</v>
      </c>
      <c r="K716" t="n">
        <v>0</v>
      </c>
      <c r="L716" t="n">
        <v>0</v>
      </c>
      <c r="M716" t="n">
        <v>0</v>
      </c>
      <c r="N716" t="n">
        <v>0</v>
      </c>
      <c r="O716" t="n">
        <v>2</v>
      </c>
      <c r="P716" t="n">
        <v>0</v>
      </c>
      <c r="Q716" t="n">
        <v>3</v>
      </c>
      <c r="R716" s="2" t="inlineStr">
        <is>
          <t>Garnlav
Granticka
Revlummer</t>
        </is>
      </c>
      <c r="S716">
        <f>HYPERLINK("https://klasma.github.io/Logging_2422/artfynd/A 46088-2022 artfynd.xlsx", "A 46088-2022")</f>
        <v/>
      </c>
      <c r="T716">
        <f>HYPERLINK("https://klasma.github.io/Logging_2422/kartor/A 46088-2022 karta.png", "A 46088-2022")</f>
        <v/>
      </c>
      <c r="V716">
        <f>HYPERLINK("https://klasma.github.io/Logging_2422/klagomål/A 46088-2022 FSC-klagomål.docx", "A 46088-2022")</f>
        <v/>
      </c>
      <c r="W716">
        <f>HYPERLINK("https://klasma.github.io/Logging_2422/klagomålsmail/A 46088-2022 FSC-klagomål mail.docx", "A 46088-2022")</f>
        <v/>
      </c>
      <c r="X716">
        <f>HYPERLINK("https://klasma.github.io/Logging_2422/tillsyn/A 46088-2022 tillsynsbegäran.docx", "A 46088-2022")</f>
        <v/>
      </c>
      <c r="Y716">
        <f>HYPERLINK("https://klasma.github.io/Logging_2422/tillsynsmail/A 46088-2022 tillsynsbegäran mail.docx", "A 46088-2022")</f>
        <v/>
      </c>
    </row>
    <row r="717" ht="15" customHeight="1">
      <c r="A717" t="inlineStr">
        <is>
          <t>A 49644-2022</t>
        </is>
      </c>
      <c r="B717" s="1" t="n">
        <v>44862</v>
      </c>
      <c r="C717" s="1" t="n">
        <v>45718</v>
      </c>
      <c r="D717" t="inlineStr">
        <is>
          <t>VÄSTERBOTTENS LÄN</t>
        </is>
      </c>
      <c r="E717" t="inlineStr">
        <is>
          <t>UMEÅ</t>
        </is>
      </c>
      <c r="F717" t="inlineStr">
        <is>
          <t>Holmen skog AB</t>
        </is>
      </c>
      <c r="G717" t="n">
        <v>4.5</v>
      </c>
      <c r="H717" t="n">
        <v>2</v>
      </c>
      <c r="I717" t="n">
        <v>0</v>
      </c>
      <c r="J717" t="n">
        <v>3</v>
      </c>
      <c r="K717" t="n">
        <v>0</v>
      </c>
      <c r="L717" t="n">
        <v>0</v>
      </c>
      <c r="M717" t="n">
        <v>0</v>
      </c>
      <c r="N717" t="n">
        <v>0</v>
      </c>
      <c r="O717" t="n">
        <v>3</v>
      </c>
      <c r="P717" t="n">
        <v>0</v>
      </c>
      <c r="Q717" t="n">
        <v>3</v>
      </c>
      <c r="R717" s="2" t="inlineStr">
        <is>
          <t>Garnlav
Talltita
Tretåig hackspett</t>
        </is>
      </c>
      <c r="S717">
        <f>HYPERLINK("https://klasma.github.io/Logging_2480/artfynd/A 49644-2022 artfynd.xlsx", "A 49644-2022")</f>
        <v/>
      </c>
      <c r="T717">
        <f>HYPERLINK("https://klasma.github.io/Logging_2480/kartor/A 49644-2022 karta.png", "A 49644-2022")</f>
        <v/>
      </c>
      <c r="V717">
        <f>HYPERLINK("https://klasma.github.io/Logging_2480/klagomål/A 49644-2022 FSC-klagomål.docx", "A 49644-2022")</f>
        <v/>
      </c>
      <c r="W717">
        <f>HYPERLINK("https://klasma.github.io/Logging_2480/klagomålsmail/A 49644-2022 FSC-klagomål mail.docx", "A 49644-2022")</f>
        <v/>
      </c>
      <c r="X717">
        <f>HYPERLINK("https://klasma.github.io/Logging_2480/tillsyn/A 49644-2022 tillsynsbegäran.docx", "A 49644-2022")</f>
        <v/>
      </c>
      <c r="Y717">
        <f>HYPERLINK("https://klasma.github.io/Logging_2480/tillsynsmail/A 49644-2022 tillsynsbegäran mail.docx", "A 49644-2022")</f>
        <v/>
      </c>
      <c r="Z717">
        <f>HYPERLINK("https://klasma.github.io/Logging_2480/fåglar/A 49644-2022 prioriterade fågelarter.docx", "A 49644-2022")</f>
        <v/>
      </c>
    </row>
    <row r="718" ht="15" customHeight="1">
      <c r="A718" t="inlineStr">
        <is>
          <t>A 56519-2022</t>
        </is>
      </c>
      <c r="B718" s="1" t="n">
        <v>44893</v>
      </c>
      <c r="C718" s="1" t="n">
        <v>45718</v>
      </c>
      <c r="D718" t="inlineStr">
        <is>
          <t>VÄSTERBOTTENS LÄN</t>
        </is>
      </c>
      <c r="E718" t="inlineStr">
        <is>
          <t>LYCKSELE</t>
        </is>
      </c>
      <c r="F718" t="inlineStr">
        <is>
          <t>Sveaskog</t>
        </is>
      </c>
      <c r="G718" t="n">
        <v>18.2</v>
      </c>
      <c r="H718" t="n">
        <v>0</v>
      </c>
      <c r="I718" t="n">
        <v>2</v>
      </c>
      <c r="J718" t="n">
        <v>1</v>
      </c>
      <c r="K718" t="n">
        <v>0</v>
      </c>
      <c r="L718" t="n">
        <v>0</v>
      </c>
      <c r="M718" t="n">
        <v>0</v>
      </c>
      <c r="N718" t="n">
        <v>0</v>
      </c>
      <c r="O718" t="n">
        <v>1</v>
      </c>
      <c r="P718" t="n">
        <v>0</v>
      </c>
      <c r="Q718" t="n">
        <v>3</v>
      </c>
      <c r="R718" s="2" t="inlineStr">
        <is>
          <t>Vedflamlav
Dropptaggsvamp
Skarp dropptaggsvamp</t>
        </is>
      </c>
      <c r="S718">
        <f>HYPERLINK("https://klasma.github.io/Logging_2481/artfynd/A 56519-2022 artfynd.xlsx", "A 56519-2022")</f>
        <v/>
      </c>
      <c r="T718">
        <f>HYPERLINK("https://klasma.github.io/Logging_2481/kartor/A 56519-2022 karta.png", "A 56519-2022")</f>
        <v/>
      </c>
      <c r="V718">
        <f>HYPERLINK("https://klasma.github.io/Logging_2481/klagomål/A 56519-2022 FSC-klagomål.docx", "A 56519-2022")</f>
        <v/>
      </c>
      <c r="W718">
        <f>HYPERLINK("https://klasma.github.io/Logging_2481/klagomålsmail/A 56519-2022 FSC-klagomål mail.docx", "A 56519-2022")</f>
        <v/>
      </c>
      <c r="X718">
        <f>HYPERLINK("https://klasma.github.io/Logging_2481/tillsyn/A 56519-2022 tillsynsbegäran.docx", "A 56519-2022")</f>
        <v/>
      </c>
      <c r="Y718">
        <f>HYPERLINK("https://klasma.github.io/Logging_2481/tillsynsmail/A 56519-2022 tillsynsbegäran mail.docx", "A 56519-2022")</f>
        <v/>
      </c>
    </row>
    <row r="719" ht="15" customHeight="1">
      <c r="A719" t="inlineStr">
        <is>
          <t>A 60450-2022</t>
        </is>
      </c>
      <c r="B719" s="1" t="n">
        <v>44904</v>
      </c>
      <c r="C719" s="1" t="n">
        <v>45718</v>
      </c>
      <c r="D719" t="inlineStr">
        <is>
          <t>VÄSTERBOTTENS LÄN</t>
        </is>
      </c>
      <c r="E719" t="inlineStr">
        <is>
          <t>NORDMALING</t>
        </is>
      </c>
      <c r="G719" t="n">
        <v>3.3</v>
      </c>
      <c r="H719" t="n">
        <v>0</v>
      </c>
      <c r="I719" t="n">
        <v>0</v>
      </c>
      <c r="J719" t="n">
        <v>2</v>
      </c>
      <c r="K719" t="n">
        <v>1</v>
      </c>
      <c r="L719" t="n">
        <v>0</v>
      </c>
      <c r="M719" t="n">
        <v>0</v>
      </c>
      <c r="N719" t="n">
        <v>0</v>
      </c>
      <c r="O719" t="n">
        <v>3</v>
      </c>
      <c r="P719" t="n">
        <v>1</v>
      </c>
      <c r="Q719" t="n">
        <v>3</v>
      </c>
      <c r="R719" s="2" t="inlineStr">
        <is>
          <t>Rynkskinn
Lunglav
Ullticka</t>
        </is>
      </c>
      <c r="S719">
        <f>HYPERLINK("https://klasma.github.io/Logging_2401/artfynd/A 60450-2022 artfynd.xlsx", "A 60450-2022")</f>
        <v/>
      </c>
      <c r="T719">
        <f>HYPERLINK("https://klasma.github.io/Logging_2401/kartor/A 60450-2022 karta.png", "A 60450-2022")</f>
        <v/>
      </c>
      <c r="V719">
        <f>HYPERLINK("https://klasma.github.io/Logging_2401/klagomål/A 60450-2022 FSC-klagomål.docx", "A 60450-2022")</f>
        <v/>
      </c>
      <c r="W719">
        <f>HYPERLINK("https://klasma.github.io/Logging_2401/klagomålsmail/A 60450-2022 FSC-klagomål mail.docx", "A 60450-2022")</f>
        <v/>
      </c>
      <c r="X719">
        <f>HYPERLINK("https://klasma.github.io/Logging_2401/tillsyn/A 60450-2022 tillsynsbegäran.docx", "A 60450-2022")</f>
        <v/>
      </c>
      <c r="Y719">
        <f>HYPERLINK("https://klasma.github.io/Logging_2401/tillsynsmail/A 60450-2022 tillsynsbegäran mail.docx", "A 60450-2022")</f>
        <v/>
      </c>
    </row>
    <row r="720" ht="15" customHeight="1">
      <c r="A720" t="inlineStr">
        <is>
          <t>A 60313-2022</t>
        </is>
      </c>
      <c r="B720" s="1" t="n">
        <v>44910</v>
      </c>
      <c r="C720" s="1" t="n">
        <v>45718</v>
      </c>
      <c r="D720" t="inlineStr">
        <is>
          <t>VÄSTERBOTTENS LÄN</t>
        </is>
      </c>
      <c r="E720" t="inlineStr">
        <is>
          <t>VINDELN</t>
        </is>
      </c>
      <c r="F720" t="inlineStr">
        <is>
          <t>Sveaskog</t>
        </is>
      </c>
      <c r="G720" t="n">
        <v>5.2</v>
      </c>
      <c r="H720" t="n">
        <v>1</v>
      </c>
      <c r="I720" t="n">
        <v>1</v>
      </c>
      <c r="J720" t="n">
        <v>1</v>
      </c>
      <c r="K720" t="n">
        <v>0</v>
      </c>
      <c r="L720" t="n">
        <v>0</v>
      </c>
      <c r="M720" t="n">
        <v>0</v>
      </c>
      <c r="N720" t="n">
        <v>0</v>
      </c>
      <c r="O720" t="n">
        <v>1</v>
      </c>
      <c r="P720" t="n">
        <v>0</v>
      </c>
      <c r="Q720" t="n">
        <v>3</v>
      </c>
      <c r="R720" s="2" t="inlineStr">
        <is>
          <t>Kolflarnlav
Skarp dropptaggsvamp
Lavskrika</t>
        </is>
      </c>
      <c r="S720">
        <f>HYPERLINK("https://klasma.github.io/Logging_2404/artfynd/A 60313-2022 artfynd.xlsx", "A 60313-2022")</f>
        <v/>
      </c>
      <c r="T720">
        <f>HYPERLINK("https://klasma.github.io/Logging_2404/kartor/A 60313-2022 karta.png", "A 60313-2022")</f>
        <v/>
      </c>
      <c r="V720">
        <f>HYPERLINK("https://klasma.github.io/Logging_2404/klagomål/A 60313-2022 FSC-klagomål.docx", "A 60313-2022")</f>
        <v/>
      </c>
      <c r="W720">
        <f>HYPERLINK("https://klasma.github.io/Logging_2404/klagomålsmail/A 60313-2022 FSC-klagomål mail.docx", "A 60313-2022")</f>
        <v/>
      </c>
      <c r="X720">
        <f>HYPERLINK("https://klasma.github.io/Logging_2404/tillsyn/A 60313-2022 tillsynsbegäran.docx", "A 60313-2022")</f>
        <v/>
      </c>
      <c r="Y720">
        <f>HYPERLINK("https://klasma.github.io/Logging_2404/tillsynsmail/A 60313-2022 tillsynsbegäran mail.docx", "A 60313-2022")</f>
        <v/>
      </c>
      <c r="Z720">
        <f>HYPERLINK("https://klasma.github.io/Logging_2404/fåglar/A 60313-2022 prioriterade fågelarter.docx", "A 60313-2022")</f>
        <v/>
      </c>
    </row>
    <row r="721" ht="15" customHeight="1">
      <c r="A721" t="inlineStr">
        <is>
          <t>A 60434-2022</t>
        </is>
      </c>
      <c r="B721" s="1" t="n">
        <v>44911</v>
      </c>
      <c r="C721" s="1" t="n">
        <v>45718</v>
      </c>
      <c r="D721" t="inlineStr">
        <is>
          <t>VÄSTERBOTTENS LÄN</t>
        </is>
      </c>
      <c r="E721" t="inlineStr">
        <is>
          <t>VINDELN</t>
        </is>
      </c>
      <c r="F721" t="inlineStr">
        <is>
          <t>Sveaskog</t>
        </is>
      </c>
      <c r="G721" t="n">
        <v>5.5</v>
      </c>
      <c r="H721" t="n">
        <v>0</v>
      </c>
      <c r="I721" t="n">
        <v>1</v>
      </c>
      <c r="J721" t="n">
        <v>2</v>
      </c>
      <c r="K721" t="n">
        <v>0</v>
      </c>
      <c r="L721" t="n">
        <v>0</v>
      </c>
      <c r="M721" t="n">
        <v>0</v>
      </c>
      <c r="N721" t="n">
        <v>0</v>
      </c>
      <c r="O721" t="n">
        <v>2</v>
      </c>
      <c r="P721" t="n">
        <v>0</v>
      </c>
      <c r="Q721" t="n">
        <v>3</v>
      </c>
      <c r="R721" s="2" t="inlineStr">
        <is>
          <t>Gammelgransskål
Granticka
Luddlav</t>
        </is>
      </c>
      <c r="S721">
        <f>HYPERLINK("https://klasma.github.io/Logging_2404/artfynd/A 60434-2022 artfynd.xlsx", "A 60434-2022")</f>
        <v/>
      </c>
      <c r="T721">
        <f>HYPERLINK("https://klasma.github.io/Logging_2404/kartor/A 60434-2022 karta.png", "A 60434-2022")</f>
        <v/>
      </c>
      <c r="V721">
        <f>HYPERLINK("https://klasma.github.io/Logging_2404/klagomål/A 60434-2022 FSC-klagomål.docx", "A 60434-2022")</f>
        <v/>
      </c>
      <c r="W721">
        <f>HYPERLINK("https://klasma.github.io/Logging_2404/klagomålsmail/A 60434-2022 FSC-klagomål mail.docx", "A 60434-2022")</f>
        <v/>
      </c>
      <c r="X721">
        <f>HYPERLINK("https://klasma.github.io/Logging_2404/tillsyn/A 60434-2022 tillsynsbegäran.docx", "A 60434-2022")</f>
        <v/>
      </c>
      <c r="Y721">
        <f>HYPERLINK("https://klasma.github.io/Logging_2404/tillsynsmail/A 60434-2022 tillsynsbegäran mail.docx", "A 60434-2022")</f>
        <v/>
      </c>
    </row>
    <row r="722" ht="15" customHeight="1">
      <c r="A722" t="inlineStr">
        <is>
          <t>A 61824-2022</t>
        </is>
      </c>
      <c r="B722" s="1" t="n">
        <v>44917</v>
      </c>
      <c r="C722" s="1" t="n">
        <v>45718</v>
      </c>
      <c r="D722" t="inlineStr">
        <is>
          <t>VÄSTERBOTTENS LÄN</t>
        </is>
      </c>
      <c r="E722" t="inlineStr">
        <is>
          <t>VINDELN</t>
        </is>
      </c>
      <c r="G722" t="n">
        <v>4.1</v>
      </c>
      <c r="H722" t="n">
        <v>0</v>
      </c>
      <c r="I722" t="n">
        <v>1</v>
      </c>
      <c r="J722" t="n">
        <v>1</v>
      </c>
      <c r="K722" t="n">
        <v>1</v>
      </c>
      <c r="L722" t="n">
        <v>0</v>
      </c>
      <c r="M722" t="n">
        <v>0</v>
      </c>
      <c r="N722" t="n">
        <v>0</v>
      </c>
      <c r="O722" t="n">
        <v>2</v>
      </c>
      <c r="P722" t="n">
        <v>1</v>
      </c>
      <c r="Q722" t="n">
        <v>3</v>
      </c>
      <c r="R722" s="2" t="inlineStr">
        <is>
          <t>Tallgråticka
Talltaggsvamp
Mindre märgborre</t>
        </is>
      </c>
      <c r="S722">
        <f>HYPERLINK("https://klasma.github.io/Logging_2404/artfynd/A 61824-2022 artfynd.xlsx", "A 61824-2022")</f>
        <v/>
      </c>
      <c r="T722">
        <f>HYPERLINK("https://klasma.github.io/Logging_2404/kartor/A 61824-2022 karta.png", "A 61824-2022")</f>
        <v/>
      </c>
      <c r="V722">
        <f>HYPERLINK("https://klasma.github.io/Logging_2404/klagomål/A 61824-2022 FSC-klagomål.docx", "A 61824-2022")</f>
        <v/>
      </c>
      <c r="W722">
        <f>HYPERLINK("https://klasma.github.io/Logging_2404/klagomålsmail/A 61824-2022 FSC-klagomål mail.docx", "A 61824-2022")</f>
        <v/>
      </c>
      <c r="X722">
        <f>HYPERLINK("https://klasma.github.io/Logging_2404/tillsyn/A 61824-2022 tillsynsbegäran.docx", "A 61824-2022")</f>
        <v/>
      </c>
      <c r="Y722">
        <f>HYPERLINK("https://klasma.github.io/Logging_2404/tillsynsmail/A 61824-2022 tillsynsbegäran mail.docx", "A 61824-2022")</f>
        <v/>
      </c>
    </row>
    <row r="723" ht="15" customHeight="1">
      <c r="A723" t="inlineStr">
        <is>
          <t>A 4479-2023</t>
        </is>
      </c>
      <c r="B723" s="1" t="n">
        <v>44956</v>
      </c>
      <c r="C723" s="1" t="n">
        <v>45718</v>
      </c>
      <c r="D723" t="inlineStr">
        <is>
          <t>VÄSTERBOTTENS LÄN</t>
        </is>
      </c>
      <c r="E723" t="inlineStr">
        <is>
          <t>VÄNNÄS</t>
        </is>
      </c>
      <c r="G723" t="n">
        <v>6.2</v>
      </c>
      <c r="H723" t="n">
        <v>2</v>
      </c>
      <c r="I723" t="n">
        <v>2</v>
      </c>
      <c r="J723" t="n">
        <v>0</v>
      </c>
      <c r="K723" t="n">
        <v>1</v>
      </c>
      <c r="L723" t="n">
        <v>0</v>
      </c>
      <c r="M723" t="n">
        <v>0</v>
      </c>
      <c r="N723" t="n">
        <v>0</v>
      </c>
      <c r="O723" t="n">
        <v>1</v>
      </c>
      <c r="P723" t="n">
        <v>1</v>
      </c>
      <c r="Q723" t="n">
        <v>3</v>
      </c>
      <c r="R723" s="2" t="inlineStr">
        <is>
          <t>Långskägg
Plattlummer
Ögonpyrola</t>
        </is>
      </c>
      <c r="S723">
        <f>HYPERLINK("https://klasma.github.io/Logging_2460/artfynd/A 4479-2023 artfynd.xlsx", "A 4479-2023")</f>
        <v/>
      </c>
      <c r="T723">
        <f>HYPERLINK("https://klasma.github.io/Logging_2460/kartor/A 4479-2023 karta.png", "A 4479-2023")</f>
        <v/>
      </c>
      <c r="V723">
        <f>HYPERLINK("https://klasma.github.io/Logging_2460/klagomål/A 4479-2023 FSC-klagomål.docx", "A 4479-2023")</f>
        <v/>
      </c>
      <c r="W723">
        <f>HYPERLINK("https://klasma.github.io/Logging_2460/klagomålsmail/A 4479-2023 FSC-klagomål mail.docx", "A 4479-2023")</f>
        <v/>
      </c>
      <c r="X723">
        <f>HYPERLINK("https://klasma.github.io/Logging_2460/tillsyn/A 4479-2023 tillsynsbegäran.docx", "A 4479-2023")</f>
        <v/>
      </c>
      <c r="Y723">
        <f>HYPERLINK("https://klasma.github.io/Logging_2460/tillsynsmail/A 4479-2023 tillsynsbegäran mail.docx", "A 4479-2023")</f>
        <v/>
      </c>
    </row>
    <row r="724" ht="15" customHeight="1">
      <c r="A724" t="inlineStr">
        <is>
          <t>A 5702-2023</t>
        </is>
      </c>
      <c r="B724" s="1" t="n">
        <v>44960</v>
      </c>
      <c r="C724" s="1" t="n">
        <v>45718</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45718</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45718</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45718</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45718</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45718</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45718</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45718</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45718</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45718</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45718</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45718</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45718</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45718</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45718</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45718</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45718</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45718</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45718</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45718</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45718</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45718</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45718</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45718</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45718</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45718</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45718</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45718</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45718</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45718</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45718</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45718</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45718</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45718</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45718</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45718</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45718</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45718</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45718</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45718</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45718</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45718</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45718</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45718</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45718</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45718</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45718</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45718</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45718</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45718</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45718</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45718</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45718</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45718</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45718</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45718</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45718</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45718</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45718</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45718</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45718</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45718</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45718</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45718</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45718</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45718</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45718</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45718</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45718</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45718</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45718</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45718</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45718</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45718</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45718</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45718</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45718</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45718</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45718</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45718</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45718</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45718</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45718</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45718</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45718</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45718</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45718</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45718</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45718</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45718</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45718</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45718</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45718</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45718</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45718</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45718</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45718</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45718</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45718</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45718</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45718</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45718</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45718</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45718</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45718</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45718</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45718</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45718</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45718</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45718</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45718</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45718</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45718</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45718</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45718</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45718</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45718</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45718</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45718</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45718</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45718</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45718</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45718</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45718</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45718</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45718</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45718</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45718</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45718</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45718</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45718</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45718</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45718</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45718</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45718</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45718</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45718</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45718</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45718</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45718</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45718</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45718</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45718</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45718</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45718</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45718</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45718</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45718</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45718</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45718</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45718</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45718</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45718</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45718</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45718</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45718</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45718</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45718</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45718</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45718</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45718</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45718</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45718</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45718</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45718</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45718</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45718</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45718</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45718</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45718</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45718</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45718</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45718</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45718</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45718</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45718</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45718</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45718</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45718</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45718</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45718</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45718</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45718</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45718</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45718</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45718</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45718</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45718</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45718</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45718</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45718</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45718</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45718</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45718</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45718</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45718</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45718</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45718</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45718</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45718</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45718</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45718</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45718</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45718</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45718</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45718</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45718</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45718</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45718</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45718</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45718</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45718</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45718</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45718</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45718</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45718</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45718</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45718</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45718</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45718</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45718</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45718</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45718</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45718</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45718</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45718</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45718</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45718</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45718</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45718</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45718</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45718</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45718</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45718</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45718</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45718</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45718</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45718</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45718</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45718</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45718</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45718</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45718</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45718</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45718</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45718</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45718</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45718</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45718</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45718</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45718</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45718</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45718</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45718</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45718</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45718</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45718</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45718</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45718</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45718</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45718</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45718</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45718</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45718</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45718</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45718</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45718</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45718</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45718</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45718</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45718</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45718</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45718</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45718</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45718</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45718</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45718</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45718</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45718</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45718</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45718</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45718</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45718</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45718</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45718</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45718</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45718</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45718</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45718</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45718</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45718</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45718</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45718</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45718</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45718</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45718</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45718</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45718</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45718</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45718</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45718</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45718</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45718</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45718</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45718</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45718</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45718</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45718</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45718</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45718</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45718</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45718</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45718</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45718</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45718</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45718</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45718</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45718</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45718</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45718</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45718</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45718</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45718</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45718</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45718</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45718</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4996-2025</t>
        </is>
      </c>
      <c r="B1050" s="1" t="n">
        <v>45691</v>
      </c>
      <c r="C1050" s="1" t="n">
        <v>45718</v>
      </c>
      <c r="D1050" t="inlineStr">
        <is>
          <t>VÄSTERBOTTENS LÄN</t>
        </is>
      </c>
      <c r="E1050" t="inlineStr">
        <is>
          <t>SKELLEFTEÅ</t>
        </is>
      </c>
      <c r="G1050" t="n">
        <v>25.4</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HYPERLINK("https://klasma.github.io/Logging_2482/artfynd/A 4996-2025 artfynd.xlsx", "A 4996-2025")</f>
        <v/>
      </c>
      <c r="T1050">
        <f>HYPERLINK("https://klasma.github.io/Logging_2482/kartor/A 4996-2025 karta.png", "A 4996-2025")</f>
        <v/>
      </c>
      <c r="U1050">
        <f>HYPERLINK("https://klasma.github.io/Logging_2482/knärot/A 4996-2025 karta knärot.png", "A 4996-2025")</f>
        <v/>
      </c>
      <c r="V1050">
        <f>HYPERLINK("https://klasma.github.io/Logging_2482/klagomål/A 4996-2025 FSC-klagomål.docx", "A 4996-2025")</f>
        <v/>
      </c>
      <c r="W1050">
        <f>HYPERLINK("https://klasma.github.io/Logging_2482/klagomålsmail/A 4996-2025 FSC-klagomål mail.docx", "A 4996-2025")</f>
        <v/>
      </c>
      <c r="X1050">
        <f>HYPERLINK("https://klasma.github.io/Logging_2482/tillsyn/A 4996-2025 tillsynsbegäran.docx", "A 4996-2025")</f>
        <v/>
      </c>
      <c r="Y1050">
        <f>HYPERLINK("https://klasma.github.io/Logging_2482/tillsynsmail/A 4996-2025 tillsynsbegäran mail.docx", "A 4996-2025")</f>
        <v/>
      </c>
    </row>
    <row r="1051" ht="15" customHeight="1">
      <c r="A1051" t="inlineStr">
        <is>
          <t>A 5110-2025</t>
        </is>
      </c>
      <c r="B1051" s="1" t="n">
        <v>45691</v>
      </c>
      <c r="C1051" s="1" t="n">
        <v>45718</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7702-2025</t>
        </is>
      </c>
      <c r="B1052" s="1" t="n">
        <v>45706</v>
      </c>
      <c r="C1052" s="1" t="n">
        <v>45718</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45718</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45718</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45718</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45718</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45718</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45718</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45718</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45718</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45718</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45718</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45718</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45718</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45718</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45718</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45718</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45718</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45718</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45718</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45718</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45718</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45718</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45718</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45718</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45718</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45718</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45718</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45718</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45718</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45718</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45718</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45718</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45718</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45718</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45718</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45718</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45718</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45718</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45718</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45718</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45718</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45718</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45718</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45718</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45718</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45718</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45718</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45718</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45718</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45718</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45718</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45718</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45718</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45718</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45718</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45718</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45718</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45718</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45718</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45718</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45718</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45718</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45718</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45718</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45718</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45718</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45718</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45718</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45718</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45718</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45718</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45718</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45718</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45718</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45718</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45718</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45718</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45718</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45718</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45718</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45718</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45718</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45718</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45718</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45718</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45718</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45718</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45718</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45718</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45718</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45718</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45718</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45718</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45718</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45718</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45718</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45718</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45718</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45718</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45718</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45718</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45718</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45718</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45718</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45718</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45718</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45718</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45718</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45718</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45718</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45718</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45718</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45718</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45718</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45718</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45718</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45718</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45718</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45718</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45718</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45718</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45718</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45718</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45718</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45718</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45718</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45718</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45718</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45718</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45718</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45718</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45718</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45718</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45718</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45718</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45718</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45718</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45718</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45718</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45718</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45718</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45718</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45718</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45718</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45718</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45718</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45718</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45718</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45718</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45718</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45718</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45718</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45718</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45718</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45718</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45718</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45718</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45718</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45718</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45718</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45718</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45718</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45718</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45718</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45718</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45718</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45718</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45718</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45718</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45718</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45718</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45718</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45718</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45718</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45718</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45718</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45718</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45718</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45718</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45718</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45718</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45718</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45718</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45718</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45718</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45718</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45718</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45718</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45718</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45718</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45718</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45718</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45718</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45718</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45718</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45718</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45718</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45718</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45718</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45718</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45718</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45718</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45718</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45718</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45718</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45718</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45718</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45718</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45718</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45718</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45718</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45718</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45718</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45718</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45718</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45718</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45718</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45718</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45718</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45718</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45718</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45718</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45718</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45718</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45718</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45718</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45718</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45718</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45718</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45718</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45718</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45718</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45718</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45718</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45718</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45718</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45718</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45718</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45718</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45718</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45718</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45718</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45718</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45718</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45718</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45718</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45718</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45718</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45718</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45718</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45718</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45718</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45718</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45718</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45718</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45718</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45718</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45718</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45718</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45718</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45718</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45718</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45718</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45718</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45718</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45718</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45718</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45718</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45718</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45718</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45718</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45718</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45718</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45718</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45718</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45718</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45718</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45718</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45718</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45718</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45718</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45718</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45718</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45718</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45718</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45718</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45718</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45718</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45718</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45718</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45718</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45718</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45718</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45718</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45718</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45718</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45718</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45718</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45718</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45718</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45718</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45718</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45718</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45718</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45718</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45718</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45718</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45718</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45718</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45718</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45718</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45718</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45718</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45718</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45718</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45718</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45718</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45718</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45718</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45718</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45718</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45718</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45718</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45718</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45718</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45718</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45718</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45718</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45718</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45718</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45718</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45718</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45718</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45718</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45718</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45718</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45718</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45718</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45718</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45718</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45718</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45718</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45718</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45718</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45718</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45718</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45718</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45718</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45718</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45718</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45718</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45718</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45718</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45718</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45718</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45718</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45718</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45718</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45718</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45718</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45718</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45718</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45718</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45718</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45718</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45718</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45718</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45718</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45718</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45718</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45718</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45718</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45718</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45718</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45718</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45718</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45718</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45718</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45718</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45718</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45718</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45718</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45718</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45718</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45718</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45718</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45718</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45718</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45718</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45718</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45718</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45718</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45718</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45718</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45718</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45718</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45718</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45718</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45718</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45718</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45718</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45718</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45718</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45718</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45718</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45718</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45718</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45718</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45718</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45718</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45718</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45718</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45718</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45718</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45718</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45718</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45718</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45718</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45718</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45718</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45718</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45718</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45718</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45718</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45718</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45718</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45718</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45718</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45718</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45718</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45718</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45718</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45718</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45718</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45718</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45718</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45718</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45718</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45718</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45718</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45718</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45718</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45718</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45718</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45718</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45718</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45718</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45718</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45718</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45718</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45718</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45718</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45718</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45718</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45718</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45718</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45718</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45718</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45718</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45718</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45718</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45718</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45718</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45718</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45718</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45718</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45718</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45718</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45718</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45718</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45718</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45718</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45718</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45718</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45718</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45718</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45718</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45718</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45718</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45718</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45718</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45718</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45718</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45718</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45718</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45718</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45718</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45718</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45718</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45718</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45718</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45718</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45718</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45718</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45718</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45718</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45718</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45718</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45718</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45718</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45718</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45718</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45718</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45718</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45718</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45718</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45718</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45718</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45718</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45718</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45718</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45718</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45718</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45718</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45718</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45718</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45718</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45718</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45718</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45718</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45718</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45718</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45718</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45718</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45718</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45718</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45718</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45718</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45718</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45718</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45718</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45718</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45718</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45718</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45718</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45718</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45718</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45718</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45718</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45718</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45718</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45718</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45718</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45718</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45718</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45718</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45718</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45718</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45718</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45718</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45718</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45718</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45718</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45718</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45718</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45718</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45718</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45718</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45718</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45718</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45718</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45718</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45718</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45718</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45718</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45718</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45718</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45718</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45718</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45718</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45718</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45718</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45718</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45718</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45718</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45718</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45718</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45718</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45718</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45718</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45718</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45718</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45718</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45718</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45718</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45718</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45718</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45718</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45718</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45718</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45718</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45718</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45718</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45718</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45718</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45718</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45718</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45718</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45718</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45718</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45718</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45718</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45718</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45718</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45718</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45718</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45718</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45718</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45718</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45718</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45718</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45718</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45718</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45718</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45718</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45718</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45718</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45718</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45718</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45718</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45718</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45718</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45718</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45718</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45718</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45718</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45718</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45718</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45718</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45718</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45718</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45718</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45718</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45718</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45718</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45718</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45718</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45718</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45718</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45718</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45718</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45718</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45718</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45718</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45718</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45718</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45718</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45718</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45718</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45718</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45718</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45718</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45718</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45718</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45718</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45718</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45718</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45718</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45718</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45718</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45718</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45718</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45718</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45718</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45718</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45718</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45718</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45718</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45718</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45718</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45718</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45718</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45718</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45718</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45718</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45718</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45718</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45718</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45718</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45718</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45718</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45718</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45718</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45718</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45718</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45718</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45718</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45718</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45718</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45718</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45718</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45718</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45718</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45718</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45718</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45718</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45718</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45718</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45718</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45718</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45718</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45718</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45718</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45718</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45718</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45718</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45718</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45718</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45718</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45718</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45718</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45718</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45718</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45718</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45718</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45718</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45718</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45718</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45718</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45718</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45718</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45718</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45718</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45718</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45718</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45718</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45718</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45718</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45718</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45718</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45718</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45718</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45718</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45718</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45718</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45718</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45718</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45718</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45718</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45718</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45718</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45718</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45718</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45718</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45718</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45718</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45718</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45718</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45718</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45718</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45718</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45718</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45718</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45718</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45718</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45718</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45718</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45718</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45718</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45718</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45718</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45718</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45718</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45718</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45718</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45718</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45718</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45718</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45718</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45718</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45718</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45718</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45718</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45718</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45718</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45718</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45718</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45718</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45718</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45718</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45718</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45718</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45718</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45718</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45718</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45718</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45718</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45718</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45718</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45718</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45718</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45718</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45718</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45718</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45718</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45718</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45718</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45718</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45718</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45718</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45718</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45718</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45718</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45718</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45718</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45718</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45718</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45718</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45718</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45718</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45718</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45718</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45718</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45718</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45718</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45718</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45718</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45718</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45718</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45718</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45718</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45718</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45718</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45718</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45718</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45718</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45718</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45718</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45718</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45718</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45718</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45718</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45718</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45718</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45718</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45718</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45718</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45718</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45718</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45718</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45718</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45718</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45718</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45718</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45718</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45718</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45718</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45718</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45718</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45718</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45718</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45718</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45718</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45718</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45718</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45718</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45718</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45718</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45718</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45718</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45718</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45718</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45718</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45718</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45718</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45718</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45718</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45718</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45718</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45718</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45718</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45718</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45718</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45718</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45718</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45718</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45718</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45718</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45718</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45718</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45718</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45718</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45718</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45718</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45718</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45718</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45718</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45718</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45718</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45718</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45718</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45718</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45718</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45718</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45718</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45718</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45718</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45718</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45718</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45718</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45718</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45718</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45718</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45718</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45718</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45718</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45718</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45718</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45718</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45718</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45718</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45718</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45718</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45718</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45718</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45718</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45718</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45718</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45718</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45718</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45718</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45718</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45718</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45718</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45718</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45718</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45718</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45718</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45718</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45718</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45718</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45718</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45718</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45718</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45718</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45718</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45718</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45718</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45718</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45718</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45718</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45718</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45718</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45718</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45718</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45718</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45718</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45718</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45718</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45718</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45718</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45718</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45718</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45718</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45718</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45718</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45718</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45718</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45718</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45718</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45718</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45718</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45718</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45718</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45718</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45718</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45718</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45718</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45718</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45718</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45718</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45718</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45718</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45718</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45718</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45718</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45718</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45718</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45718</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45718</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45718</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45718</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45718</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45718</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45718</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45718</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45718</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45718</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45718</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45718</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45718</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45718</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45718</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45718</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45718</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45718</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45718</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45718</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45718</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45718</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45718</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45718</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45718</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45718</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45718</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45718</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45718</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45718</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45718</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45718</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45718</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45718</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45718</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45718</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45718</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45718</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45718</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45718</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45718</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45718</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45718</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45718</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45718</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45718</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45718</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45718</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45718</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45718</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45718</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45718</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45718</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45718</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45718</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45718</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45718</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45718</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45718</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45718</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45718</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45718</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45718</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45718</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45718</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45718</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45718</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45718</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45718</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45718</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45718</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45718</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45718</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45718</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45718</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45718</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45718</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45718</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45718</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45718</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45718</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45718</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45718</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45718</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45718</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45718</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45718</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45718</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45718</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45718</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45718</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45718</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45718</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45718</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45718</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45718</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45718</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45718</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45718</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45718</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45718</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45718</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45718</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45718</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45718</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45718</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45718</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45718</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45718</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45718</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45718</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45718</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45718</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45718</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45718</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45718</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45718</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45718</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45718</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45718</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45718</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45718</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45718</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45718</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45718</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45718</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45718</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45718</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45718</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45718</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45718</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45718</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45718</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45718</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45718</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45718</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45718</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45718</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45718</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45718</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45718</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45718</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45718</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45718</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45718</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45718</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45718</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45718</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45718</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45718</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45718</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45718</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45718</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45718</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45718</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45718</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45718</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45718</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45718</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45718</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45718</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45718</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45718</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45718</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45718</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45718</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45718</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45718</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45718</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45718</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45718</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45718</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45718</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45718</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45718</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45718</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45718</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45718</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45718</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45718</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45718</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45718</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45718</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45718</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45718</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45718</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45718</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45718</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45718</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45718</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45718</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45718</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45718</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45718</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45718</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45718</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45718</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45718</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45718</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45718</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45718</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45718</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45718</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45718</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45718</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45718</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45718</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45718</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45718</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45718</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45718</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45718</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45718</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45718</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45718</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45718</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45718</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45718</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45718</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45718</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45718</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45718</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45718</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45718</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45718</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45718</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45718</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45718</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45718</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45718</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45718</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45718</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45718</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45718</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45718</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45718</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45718</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45718</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45718</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45718</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45718</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45718</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45718</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45718</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45718</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45718</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45718</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45718</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45718</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45718</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45718</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45718</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45718</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45718</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45718</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45718</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45718</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45718</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45718</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45718</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45718</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45718</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45718</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45718</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45718</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45718</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45718</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45718</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45718</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45718</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45718</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45718</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45718</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45718</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45718</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45718</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45718</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45718</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45718</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45718</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45718</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45718</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45718</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45718</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45718</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45718</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45718</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45718</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45718</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45718</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45718</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45718</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45718</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45718</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45718</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45718</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45718</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45718</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45718</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45718</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45718</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45718</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45718</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45718</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45718</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45718</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45718</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45718</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45718</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45718</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45718</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45718</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45718</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45718</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45718</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45718</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45718</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45718</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45718</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45718</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45718</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45718</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45718</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45718</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45718</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45718</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45718</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45718</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45718</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45718</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45718</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45718</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45718</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45718</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45718</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45718</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45718</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45718</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45718</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45718</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45718</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45718</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45718</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45718</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45718</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45718</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45718</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45718</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45718</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45718</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45718</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45718</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45718</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45718</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45718</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45718</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45718</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45718</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45718</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45718</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45718</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45718</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45718</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45718</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45718</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45718</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45718</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45718</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45718</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45718</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45718</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45718</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45718</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45718</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45718</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45718</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45718</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45718</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45718</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45718</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45718</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45718</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45718</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45718</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45718</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45718</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45718</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45718</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45718</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45718</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45718</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45718</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45718</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45718</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45718</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45718</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45718</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45718</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45718</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45718</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45718</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45718</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45718</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45718</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45718</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45718</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45718</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45718</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45718</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45718</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45718</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45718</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45718</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45718</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45718</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45718</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45718</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45718</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45718</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45718</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45718</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45718</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45718</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45718</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45718</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45718</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45718</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45718</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45718</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45718</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45718</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45718</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45718</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45718</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45718</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45718</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45718</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45718</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45718</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45718</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45718</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45718</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45718</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45718</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45718</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45718</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45718</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45718</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45718</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45718</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45718</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45718</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45718</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45718</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45718</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45718</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45718</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45718</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45718</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45718</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45718</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45718</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45718</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45718</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45718</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45718</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45718</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45718</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45718</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45718</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45718</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45718</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45718</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45718</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45718</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45718</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45718</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45718</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45718</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45718</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45718</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45718</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45718</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45718</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45718</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45718</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45718</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45718</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45718</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45718</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45718</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45718</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45718</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45718</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45718</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45718</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45718</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45718</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45718</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45718</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45718</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45718</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45718</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45718</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45718</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45718</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45718</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45718</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45718</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45718</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45718</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45718</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45718</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45718</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45718</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45718</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45718</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45718</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45718</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45718</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45718</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45718</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45718</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45718</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45718</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45718</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45718</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45718</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45718</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45718</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45718</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45718</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45718</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45718</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45718</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45718</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45718</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45718</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45718</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45718</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45718</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45718</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45718</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45718</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45718</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45718</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45718</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45718</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45718</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45718</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45718</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45718</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45718</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45718</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45718</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45718</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45718</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45718</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45718</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45718</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45718</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45718</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45718</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45718</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45718</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45718</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45718</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45718</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45718</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45718</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45718</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45718</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45718</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45718</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45718</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45718</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45718</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45718</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45718</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45718</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45718</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45718</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45718</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45718</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45718</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45718</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45718</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45718</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45718</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45718</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45718</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45718</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45718</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45718</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45718</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45718</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45718</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45718</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45718</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45718</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45718</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45718</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45718</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45718</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45718</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45718</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45718</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45718</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45718</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45718</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45718</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45718</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45718</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45718</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45718</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45718</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45718</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45718</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45718</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45718</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45718</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45718</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45718</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45718</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45718</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45718</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45718</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45718</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45718</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45718</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45718</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45718</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45718</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45718</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45718</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45718</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45718</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45718</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45718</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45718</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45718</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45718</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45718</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45718</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45718</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45718</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45718</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45718</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45718</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45718</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45718</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45718</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45718</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45718</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45718</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45718</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45718</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45718</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45718</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45718</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45718</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45718</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45718</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45718</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45718</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45718</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45718</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45718</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45718</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45718</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45718</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45718</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45718</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45718</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45718</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45718</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45718</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45718</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45718</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45718</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45718</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45718</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45718</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45718</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45718</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45718</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45718</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45718</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45718</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45718</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45718</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45718</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45718</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45718</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45718</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45718</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45718</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45718</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45718</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45718</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45718</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45718</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45718</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45718</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45718</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45718</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45718</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45718</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45718</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45718</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45718</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45718</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45718</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45718</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45718</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45718</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45718</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45718</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45718</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45718</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45718</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45718</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45718</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45718</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45718</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45718</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45718</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45718</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45718</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45718</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45718</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45718</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45718</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45718</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45718</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45718</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45718</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45718</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45718</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45718</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45718</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45718</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45718</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45718</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45718</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45718</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45718</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45718</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45718</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45718</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45718</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45718</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45718</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45718</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45718</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45718</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45718</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45718</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45718</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45718</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45718</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45718</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45718</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45718</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45718</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45718</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45718</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45718</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45718</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45718</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45718</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45718</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45718</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45718</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45718</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45718</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45718</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45718</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45718</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45718</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45718</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45718</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45718</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45718</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45718</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45718</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45718</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45718</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45718</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45718</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45718</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45718</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45718</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45718</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45718</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45718</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45718</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45718</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45718</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45718</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45718</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45718</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45718</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45718</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45718</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45718</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45718</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45718</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45718</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45718</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45718</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45718</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45718</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45718</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45718</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45718</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45718</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45718</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45718</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45718</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45718</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45718</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45718</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45718</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45718</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45718</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45718</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45718</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45718</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45718</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45718</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45718</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45718</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45718</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45718</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45718</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45718</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45718</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45718</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45718</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45718</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45718</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45718</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45718</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45718</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45718</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45718</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45718</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45718</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45718</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45718</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45718</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45718</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45718</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45718</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45718</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45718</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45718</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45718</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45718</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45718</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45718</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45718</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45718</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45718</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45718</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45718</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45718</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45718</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45718</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45718</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45718</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45718</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45718</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45718</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45718</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45718</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45718</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45718</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45718</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45718</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45718</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45718</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45718</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45718</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45718</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45718</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45718</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45718</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45718</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45718</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45718</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45718</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45718</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45718</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45718</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45718</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45718</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45718</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45718</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45718</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45718</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45718</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45718</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45718</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45718</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45718</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45718</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45718</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45718</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45718</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45718</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45718</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45718</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45718</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45718</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45718</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45718</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45718</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45718</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45718</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45718</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45718</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45718</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45718</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45718</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45718</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45718</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45718</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45718</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45718</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45718</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45718</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45718</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45718</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45718</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45718</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45718</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45718</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45718</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45718</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45718</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45718</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45718</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45718</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45718</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45718</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45718</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45718</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45718</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45718</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45718</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45718</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45718</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45718</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45718</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45718</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45718</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45718</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45718</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45718</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45718</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45718</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45718</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45718</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45718</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45718</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45718</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45718</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45718</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45718</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45718</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45718</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45718</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45718</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45718</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45718</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45718</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45718</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45718</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45718</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45718</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45718</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45718</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45718</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45718</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45718</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45718</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45718</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45718</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45718</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45718</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45718</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45718</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45718</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45718</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45718</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45718</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45718</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45718</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45718</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45718</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45718</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45718</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45718</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45718</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45718</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45718</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45718</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45718</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45718</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45718</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45718</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45718</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45718</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45718</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45718</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45718</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45718</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45718</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45718</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45718</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45718</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45718</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45718</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45718</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45718</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45718</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45718</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45718</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45718</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45718</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45718</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45718</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45718</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45718</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45718</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45718</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45718</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45718</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45718</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45718</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45718</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45718</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45718</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45718</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45718</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45718</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45718</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45718</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45718</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45718</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45718</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45718</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45718</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45718</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45718</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45718</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45718</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45718</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45718</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45718</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45718</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45718</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45718</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45718</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45718</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45718</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45718</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45718</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45718</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45718</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45718</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45718</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45718</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45718</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45718</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45718</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45718</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45718</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45718</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45718</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45718</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45718</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45718</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45718</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45718</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45718</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45718</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45718</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45718</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45718</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45718</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45718</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45718</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45718</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45718</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45718</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45718</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45718</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45718</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45718</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45718</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45718</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45718</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45718</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45718</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45718</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45718</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45718</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45718</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45718</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45718</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45718</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45718</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45718</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45718</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45718</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45718</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45718</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45718</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45718</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45718</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45718</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45718</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45718</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45718</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45718</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45718</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45718</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45718</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45718</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45718</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45718</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45718</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45718</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45718</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45718</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45718</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45718</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45718</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45718</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45718</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45718</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45718</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45718</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45718</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45718</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45718</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45718</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45718</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45718</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45718</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45718</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45718</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45718</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45718</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45718</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45718</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45718</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45718</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45718</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45718</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45718</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45718</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45718</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45718</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45718</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45718</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45718</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45718</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45718</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45718</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45718</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45718</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45718</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45718</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45718</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45718</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45718</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45718</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45718</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45718</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45718</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45718</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45718</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45718</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45718</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45718</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45718</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45718</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45718</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45718</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45718</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45718</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45718</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45718</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45718</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45718</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45718</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45718</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45718</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45718</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45718</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45718</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45718</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45718</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45718</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45718</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45718</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45718</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45718</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45718</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45718</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45718</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45718</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45718</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45718</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45718</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45718</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45718</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45718</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45718</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45718</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45718</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45718</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45718</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45718</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45718</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45718</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45718</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45718</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45718</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45718</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45718</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45718</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45718</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45718</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45718</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45718</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45718</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45718</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45718</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45718</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45718</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45718</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45718</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45718</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45718</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45718</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45718</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45718</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45718</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45718</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45718</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45718</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45718</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45718</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45718</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45718</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45718</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45718</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45718</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45718</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45718</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45718</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45718</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45718</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45718</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45718</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45718</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45718</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45718</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45718</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45718</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45718</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45718</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45718</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45718</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45718</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45718</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45718</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45718</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45718</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45718</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45718</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45718</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45718</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45718</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45718</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45718</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45718</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45718</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45718</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45718</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45718</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45718</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45718</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45718</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45718</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45718</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45718</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45718</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45718</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45718</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45718</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45718</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45718</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45718</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45718</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45718</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45718</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45718</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45718</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45718</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45718</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45718</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45718</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45718</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45718</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45718</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45718</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45718</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45718</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45718</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45718</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45718</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45718</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45718</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45718</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45718</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45718</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45718</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45718</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45718</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45718</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45718</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45718</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45718</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45718</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45718</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45718</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45718</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45718</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45718</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45718</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45718</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45718</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45718</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45718</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45718</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45718</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45718</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45718</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45718</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45718</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45718</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45718</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45718</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45718</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45718</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45718</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45718</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45718</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45718</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45718</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45718</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45718</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45718</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45718</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45718</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45718</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45718</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45718</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45718</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45718</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45718</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45718</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45718</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45718</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45718</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45718</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45718</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45718</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45718</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45718</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45718</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45718</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45718</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45718</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45718</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45718</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45718</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45718</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45718</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45718</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45718</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45718</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45718</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45718</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45718</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45718</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45718</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45718</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45718</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45718</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45718</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45718</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45718</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45718</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45718</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45718</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45718</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45718</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45718</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45718</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45718</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45718</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45718</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45718</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45718</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45718</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45718</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45718</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45718</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45718</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45718</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45718</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45718</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45718</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45718</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45718</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45718</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45718</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45718</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45718</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45718</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45718</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45718</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45718</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45718</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45718</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45718</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45718</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45718</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45718</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45718</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45718</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45718</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45718</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45718</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45718</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45718</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45718</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45718</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45718</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45718</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45718</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45718</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45718</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45718</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45718</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45718</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45718</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45718</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45718</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45718</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45718</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45718</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45718</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45718</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45718</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45718</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45718</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45718</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45718</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45718</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45718</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45718</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45718</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45718</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45718</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45718</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45718</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45718</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45718</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45718</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45718</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45718</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45718</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45718</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45718</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45718</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45718</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45718</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45718</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45718</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45718</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45718</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45718</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45718</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45718</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45718</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45718</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45718</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45718</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45718</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45718</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45718</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45718</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45718</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45718</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45718</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45718</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45718</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45718</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45718</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45718</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45718</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45718</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45718</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45718</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45718</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45718</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45718</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45718</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45718</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45718</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45718</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45718</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45718</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45718</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45718</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45718</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45718</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45718</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45718</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45718</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45718</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45718</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45718</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45718</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45718</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45718</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45718</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45718</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45718</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45718</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45718</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45718</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45718</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45718</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45718</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45718</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45718</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45718</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45718</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45718</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45718</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45718</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45718</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45718</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45718</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45718</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45718</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45718</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45718</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45718</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45718</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45718</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45718</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45718</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45718</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45718</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45718</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45718</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45718</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45718</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45718</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45718</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45718</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45718</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45718</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45718</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45718</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45718</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45718</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45718</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45718</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45718</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45718</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45718</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45718</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45718</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45718</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45718</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45718</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45718</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45718</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45718</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45718</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45718</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45718</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45718</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45718</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45718</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45718</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45718</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45718</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45718</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45718</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45718</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45718</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45718</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45718</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45718</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45718</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45718</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45718</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45718</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45718</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45718</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45718</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45718</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45718</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45718</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45718</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45718</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45718</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45718</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45718</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45718</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45718</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45718</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45718</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45718</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45718</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45718</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45718</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45718</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45718</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45718</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45718</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45718</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45718</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45718</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45718</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45718</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45718</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45718</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45718</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45718</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45718</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45718</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45718</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45718</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45718</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45718</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45718</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45718</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45718</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45718</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45718</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45718</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45718</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45718</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45718</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45718</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45718</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45718</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45718</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45718</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45718</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45718</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45718</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45718</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45718</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45718</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45718</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45718</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45718</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45718</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45718</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45718</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45718</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45718</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45718</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45718</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45718</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45718</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45718</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45718</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45718</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45718</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45718</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45718</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45718</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45718</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45718</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45718</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45718</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45718</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45718</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45718</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45718</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45718</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45718</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45718</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45718</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45718</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45718</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45718</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45718</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45718</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45718</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45718</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45718</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45718</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45718</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45718</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45718</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45718</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45718</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45718</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45718</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45718</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45718</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45718</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45718</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45718</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45718</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45718</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45718</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45718</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45718</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45718</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45718</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45718</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45718</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45718</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45718</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45718</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45718</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45718</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45718</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45718</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45718</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45718</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45718</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45718</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45718</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45718</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45718</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45718</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45718</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45718</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45718</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45718</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45718</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45718</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45718</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45718</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45718</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45718</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45718</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45718</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45718</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45718</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45718</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45718</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45718</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45718</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45718</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45718</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45718</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45718</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45718</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45718</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45718</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45718</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45718</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45718</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45718</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45718</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45718</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45718</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45718</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45718</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45718</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45718</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45718</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45718</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45718</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45718</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45718</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45718</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45718</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45718</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45718</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45718</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45718</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45718</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45718</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45718</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45718</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45718</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45718</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45718</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45718</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45718</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45718</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45718</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45718</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45718</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45718</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45718</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45718</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45718</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45718</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45718</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45718</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45718</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45718</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45718</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45718</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45718</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45718</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45718</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45718</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45718</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45718</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45718</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45718</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45718</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45718</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45718</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45718</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45718</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45718</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45718</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45718</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45718</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45718</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45718</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45718</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45718</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45718</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45718</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45718</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45718</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45718</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45718</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45718</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45718</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45718</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45718</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45718</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45718</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45718</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45718</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45718</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45718</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45718</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45718</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45718</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45718</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45718</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45718</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45718</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45718</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45718</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45718</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45718</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45718</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45718</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45718</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45718</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45718</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45718</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45718</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45718</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45718</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45718</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45718</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45718</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45718</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45718</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45718</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45718</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45718</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45718</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45718</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45718</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45718</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45718</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45718</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45718</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45718</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45718</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45718</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45718</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45718</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45718</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45718</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45718</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45718</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45718</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45718</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45718</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45718</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45718</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45718</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45718</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45718</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45718</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45718</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45718</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45718</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45718</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45718</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45718</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45718</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45718</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45718</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45718</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45718</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45718</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45718</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45718</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45718</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45718</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45718</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45718</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45718</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45718</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45718</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45718</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45718</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45718</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45718</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45718</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45718</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45718</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45718</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45718</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45718</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45718</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45718</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45718</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45718</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45718</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45718</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45718</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45718</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45718</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45718</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45718</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45718</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45718</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45718</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45718</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45718</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45718</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45718</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45718</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45718</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45718</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45718</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45718</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45718</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45718</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45718</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45718</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45718</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45718</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45718</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45718</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45718</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45718</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45718</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45718</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45718</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45718</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45718</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45718</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45718</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45718</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45718</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45718</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45718</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45718</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45718</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45718</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45718</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45718</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45718</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45718</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45718</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45718</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45718</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45718</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45718</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45718</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45718</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45718</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45718</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45718</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45718</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45718</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45718</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45718</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45718</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45718</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45718</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45718</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45718</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45718</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45718</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45718</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45718</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45718</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45718</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45718</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45718</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45718</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45718</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45718</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45718</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45718</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45718</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45718</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45718</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45718</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45718</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45718</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45718</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45718</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45718</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45718</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45718</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45718</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45718</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45718</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45718</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45718</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45718</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45718</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45718</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45718</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45718</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45718</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45718</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45718</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45718</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45718</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45718</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45718</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45718</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45718</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45718</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45718</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45718</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45718</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45718</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45718</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45718</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45718</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45718</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45718</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45718</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45718</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45718</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45718</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45718</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45718</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45718</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45718</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45718</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45718</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45718</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45718</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45718</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45718</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45718</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45718</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45718</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45718</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45718</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45718</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45718</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45718</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45718</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45718</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45718</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45718</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45718</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45718</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45718</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45718</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45718</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45718</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45718</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45718</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45718</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45718</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45718</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45718</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45718</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45718</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45718</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45718</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45718</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45718</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45718</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45718</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45718</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45718</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45718</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45718</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45718</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45718</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45718</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45718</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45718</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45718</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45718</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45718</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45718</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45718</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45718</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45718</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45718</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45718</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45718</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45718</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45718</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45718</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45718</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45718</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45718</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45718</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45718</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45718</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45718</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45718</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45718</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45718</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45718</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45718</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45718</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45718</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45718</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45718</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45718</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45718</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45718</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45718</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45718</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45718</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45718</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45718</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45718</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45718</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45718</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45718</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45718</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45718</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45718</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45718</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45718</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45718</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45718</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45718</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45718</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45718</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45718</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45718</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45718</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45718</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45718</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45718</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45718</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45718</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45718</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45718</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45718</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45718</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45718</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45718</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45718</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45718</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45718</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45718</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45718</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45718</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45718</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45718</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45718</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45718</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45718</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45718</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45718</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45718</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45718</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45718</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45718</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45718</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45718</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45718</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45718</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45718</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45718</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45718</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45718</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45718</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45718</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45718</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45718</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45718</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45718</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45718</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45718</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45718</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45718</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45718</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45718</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45718</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45718</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45718</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45718</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45718</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45718</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45718</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45718</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45718</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45718</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45718</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45718</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45718</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45718</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45718</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45718</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45718</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45718</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45718</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45718</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45718</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45718</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45718</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45718</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45718</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45718</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45718</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45718</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45718</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45718</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45718</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45718</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45718</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45718</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45718</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45718</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45718</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45718</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45718</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45718</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45718</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45718</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45718</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45718</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45718</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45718</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45718</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45718</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45718</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45718</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45718</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45718</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45718</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45718</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45718</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45718</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45718</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45718</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45718</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45718</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45718</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45718</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45718</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45718</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45718</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45718</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45718</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45718</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45718</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45718</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45718</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45718</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45718</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45718</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45718</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45718</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45718</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45718</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45718</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45718</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45718</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45718</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45718</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45718</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45718</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45718</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45718</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45718</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45718</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45718</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45718</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45718</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45718</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45718</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45718</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45718</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45718</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45718</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45718</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45718</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45718</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45718</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45718</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45718</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45718</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45718</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45718</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45718</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45718</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45718</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45718</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45718</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45718</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45718</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45718</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45718</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45718</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45718</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45718</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45718</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45718</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45718</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45718</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45718</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45718</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45718</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45718</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45718</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45718</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45718</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45718</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45718</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45718</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45718</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45718</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45718</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45718</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45718</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45718</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45718</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45718</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45718</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45718</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45718</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45718</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45718</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45718</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45718</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45718</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45718</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45718</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45718</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45718</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45718</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45718</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45718</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45718</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45718</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45718</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45718</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45718</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45718</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45718</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45718</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45718</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45718</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45718</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45718</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45718</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45718</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45718</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45718</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45718</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45718</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45718</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45718</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45718</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45718</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45718</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45718</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45718</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45718</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45718</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45718</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45718</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45718</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45718</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45718</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45718</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45718</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45718</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45718</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45718</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45718</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45718</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45718</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45718</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45718</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45718</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45718</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45718</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45718</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45718</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45718</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45718</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45718</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45718</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45718</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45718</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45718</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45718</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45718</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45718</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45718</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45718</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45718</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45718</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45718</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45718</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45718</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45718</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45718</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45718</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45718</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45718</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45718</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45718</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45718</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45718</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45718</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45718</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45718</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45718</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45718</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45718</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45718</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45718</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45718</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45718</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45718</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45718</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45718</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45718</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45718</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45718</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45718</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45718</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45718</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45718</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45718</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45718</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45718</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45718</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45718</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45718</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45718</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45718</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45718</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45718</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45718</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45718</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45718</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45718</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45718</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45718</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45718</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45718</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45718</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45718</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45718</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45718</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45718</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45718</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45718</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45718</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45718</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45718</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45718</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45718</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45718</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45718</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45718</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45718</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45718</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45718</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45718</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45718</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45718</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45718</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45718</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45718</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45718</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45718</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45718</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45718</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45718</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45718</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45718</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45718</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45718</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45718</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45718</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45718</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45718</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45718</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45718</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45718</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45718</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45718</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45718</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45718</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45718</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45718</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45718</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45718</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45718</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45718</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45718</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45718</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45718</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45718</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45718</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45718</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45718</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45718</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45718</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45718</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45718</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45718</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45718</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45718</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45718</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45718</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45718</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45718</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45718</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45718</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45718</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45718</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45718</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45718</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45718</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45718</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45718</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45718</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45718</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45718</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45718</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45718</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45718</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45718</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45718</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45718</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45718</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45718</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45718</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45718</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45718</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45718</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45718</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45718</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45718</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45718</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45718</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45718</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45718</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45718</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45718</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45718</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45718</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45718</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45718</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45718</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45718</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45718</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45718</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45718</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45718</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45718</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45718</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45718</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45718</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45718</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45718</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45718</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45718</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45718</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45718</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45718</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45718</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45718</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45718</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45718</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45718</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45718</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45718</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45718</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45718</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45718</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45718</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45718</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45718</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45718</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45718</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45718</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45718</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45718</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45718</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45718</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45718</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45718</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45718</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45718</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45718</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45718</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45718</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45718</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45718</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45718</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45718</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45718</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45718</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45718</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45718</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45718</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45718</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45718</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45718</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45718</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45718</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45718</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45718</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45718</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45718</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45718</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45718</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45718</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45718</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45718</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45718</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45718</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45718</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45718</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45718</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45718</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45718</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45718</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45718</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45718</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45718</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45718</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45718</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45718</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45718</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45718</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45718</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45718</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45718</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45718</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45718</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45718</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45718</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45718</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45718</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45718</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45718</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45718</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45718</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45718</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45718</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45718</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45718</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45718</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45718</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45718</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45718</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45718</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45718</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45718</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45718</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45718</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45718</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45718</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45718</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45718</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45718</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45718</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45718</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45718</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45718</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45718</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45718</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45718</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45718</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45718</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45718</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45718</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45718</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45718</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45718</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45718</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45718</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45718</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45718</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45718</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45718</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45718</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45718</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45718</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45718</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45718</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45718</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45718</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45718</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45718</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45718</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45718</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45718</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45718</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45718</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45718</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45718</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45718</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45718</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45718</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45718</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45718</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45718</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45718</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45718</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45718</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45718</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45718</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45718</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45718</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45718</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45718</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45718</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45718</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45718</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45718</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45718</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45718</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45718</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45718</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45718</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45718</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45718</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45718</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45718</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45718</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45718</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45718</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45718</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45718</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45718</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45718</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45718</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45718</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45718</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45718</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45718</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45718</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45718</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45718</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45718</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45718</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45718</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45718</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45718</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45718</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45718</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45718</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45718</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45718</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45718</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45718</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45718</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45718</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45718</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45718</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45718</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45718</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45718</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45718</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45718</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45718</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45718</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45718</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45718</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45718</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45718</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45718</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45718</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45718</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45718</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45718</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45718</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45718</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45718</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45718</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45718</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45718</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45718</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45718</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45718</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45718</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45718</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45718</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45718</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45718</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45718</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45718</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45718</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45718</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45718</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45718</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45718</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45718</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45718</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45718</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45718</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45718</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45718</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45718</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45718</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45718</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45718</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45718</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45718</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45718</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45718</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45718</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45718</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45718</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45718</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45718</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45718</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45718</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45718</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45718</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45718</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45718</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45718</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45718</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45718</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45718</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45718</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45718</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45718</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45718</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45718</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45718</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45718</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45718</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45718</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45718</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45718</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45718</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45718</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45718</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45718</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45718</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45718</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45718</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45718</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45718</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45718</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45718</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45718</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45718</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45718</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45718</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45718</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45718</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45718</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45718</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45718</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45718</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45718</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45718</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45718</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45718</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45718</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45718</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45718</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45718</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45718</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45718</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45718</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45718</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45718</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45718</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45718</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45718</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45718</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45718</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45718</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45718</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45718</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45718</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45718</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45718</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45718</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45718</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45718</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45718</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45718</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45718</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45718</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45718</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45718</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45718</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45718</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45718</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45718</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45718</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45718</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45718</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45718</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45718</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45718</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45718</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45718</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45718</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45718</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45718</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45718</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45718</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45718</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45718</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45718</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45718</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45718</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45718</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45718</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45718</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45718</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45718</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45718</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45718</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45718</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45718</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45718</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45718</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45718</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45718</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45718</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45718</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45718</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45718</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45718</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45718</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45718</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45718</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45718</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45718</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45718</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45718</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45718</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45718</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45718</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45718</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45718</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45718</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45718</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45718</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45718</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45718</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45718</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45718</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45718</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45718</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45718</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45718</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45718</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45718</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45718</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45718</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45718</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45718</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45718</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45718</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45718</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45718</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45718</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45718</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45718</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45718</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45718</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45718</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45718</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45718</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45718</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45718</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45718</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45718</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45718</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45718</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45718</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45718</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45718</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45718</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45718</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45718</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45718</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45718</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45718</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45718</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45718</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45718</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45718</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45718</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45718</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45718</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45718</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45718</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45718</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45718</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45718</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45718</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45718</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45718</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45718</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45718</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45718</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45718</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45718</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45718</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45718</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45718</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45718</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45718</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45718</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45718</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45718</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45718</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45718</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45718</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45718</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45718</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45718</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45718</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45718</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45718</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45718</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45718</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45718</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45718</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45718</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45718</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45718</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45718</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45718</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45718</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45718</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45718</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45718</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45718</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45718</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45718</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45718</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45718</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45718</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45718</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45718</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45718</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45718</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45718</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45718</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45718</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45718</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45718</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45718</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45718</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45718</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45718</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45718</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45718</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45718</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45718</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45718</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45718</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45718</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45718</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45718</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45718</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45718</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45718</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45718</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45718</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45718</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45718</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45718</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45718</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45718</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45718</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45718</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45718</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45718</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45718</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45718</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45718</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45718</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45718</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45718</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45718</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45718</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45718</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45718</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45718</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45718</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45718</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45718</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45718</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45718</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45718</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45718</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45718</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45718</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45718</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45718</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45718</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45718</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45718</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45718</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45718</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45718</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45718</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45718</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45718</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45718</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45718</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45718</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45718</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45718</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45718</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45718</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45718</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45718</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45718</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45718</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45718</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45718</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45718</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45718</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45718</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45718</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45718</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45718</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45718</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45718</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45718</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45718</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45718</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45718</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45718</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45718</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45718</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45718</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45718</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45718</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45718</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45718</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45718</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45718</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45718</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45718</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45718</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45718</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45718</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45718</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45718</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45718</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45718</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45718</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45718</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45718</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45718</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45718</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45718</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45718</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45718</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45718</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45718</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45718</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45718</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45718</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45718</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45718</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45718</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45718</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45718</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45718</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45718</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45718</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45718</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45718</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45718</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45718</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45718</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45718</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45718</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45718</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45718</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45718</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45718</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45718</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45718</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45718</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45718</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45718</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45718</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45718</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45718</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45718</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45718</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45718</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45718</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45718</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45718</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45718</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45718</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45718</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45718</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45718</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45718</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45718</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45718</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45718</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45718</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45718</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45718</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45718</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45718</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45718</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45718</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45718</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45718</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45718</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45718</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45718</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45718</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45718</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45718</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45718</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45718</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45718</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45718</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45718</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45718</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45718</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45718</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45718</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45718</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45718</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45718</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45718</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45718</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45718</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45718</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45718</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45718</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45718</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45718</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45718</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45718</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45718</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45718</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45718</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45718</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45718</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45718</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45718</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45718</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45718</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45718</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45718</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45718</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45718</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45718</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45718</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45718</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45718</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45718</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45718</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45718</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45718</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45718</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45718</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45718</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45718</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45718</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45718</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45718</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45718</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45718</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45718</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45718</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45718</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45718</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45718</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45718</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45718</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45718</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45718</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45718</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45718</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45718</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45718</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45718</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45718</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45718</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45718</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45718</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45718</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45718</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45718</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45718</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45718</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45718</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45718</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45718</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45718</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45718</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45718</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45718</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45718</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45718</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45718</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45718</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45718</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45718</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45718</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45718</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45718</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45718</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45718</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45718</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45718</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45718</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45718</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45718</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45718</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45718</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45718</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45718</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45718</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45718</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45718</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45718</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45718</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45718</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45718</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45718</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45718</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45718</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45718</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45718</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45718</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45718</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45718</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45718</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45718</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45718</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45718</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45718</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45718</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45718</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45718</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45718</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45718</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45718</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45718</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45718</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45718</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45718</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45718</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45718</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45718</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45718</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45718</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45718</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45718</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45718</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45718</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45718</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45718</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45718</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45718</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45718</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45718</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45718</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45718</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45718</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45718</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45718</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45718</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45718</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45718</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45718</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45718</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45718</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45718</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45718</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45718</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45718</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45718</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45718</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45718</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45718</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45718</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45718</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45718</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45718</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45718</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45718</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45718</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45718</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45718</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45718</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45718</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45718</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45718</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45718</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45718</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45718</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45718</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45718</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45718</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45718</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45718</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45718</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45718</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45718</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45718</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45718</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45718</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45718</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45718</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45718</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45718</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45718</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45718</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45718</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45718</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45718</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45718</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45718</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45718</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45718</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45718</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45718</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45718</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45718</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45718</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45718</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45718</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45718</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45718</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45718</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45718</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45718</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45718</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45718</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45718</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45718</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45718</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45718</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45718</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45718</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45718</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45718</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45718</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45718</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45718</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45718</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45718</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45718</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45718</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45718</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45718</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45718</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45718</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45718</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45718</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45718</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45718</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45718</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45718</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45718</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45718</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45718</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45718</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45718</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45718</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45718</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45718</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45718</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45718</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45718</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45718</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45718</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45718</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45718</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45718</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45718</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45718</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45718</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45718</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45718</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45718</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45718</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45718</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45718</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45718</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45718</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45718</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45718</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45718</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45718</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45718</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45718</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45718</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45718</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45718</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45718</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45718</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45718</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45718</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45718</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45718</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45718</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45718</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45718</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45718</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45718</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45718</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45718</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45718</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45718</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45718</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45718</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45718</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45718</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45718</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45718</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45718</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45718</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45718</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45718</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45718</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45718</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45718</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45718</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45718</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45718</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45718</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45718</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45718</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45718</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45718</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45718</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45718</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45718</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45718</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45718</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45718</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45718</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45718</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45718</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45718</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45718</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45718</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45718</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45718</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45718</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45718</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45718</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45718</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45718</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45718</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45718</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45718</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45718</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45718</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45718</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45718</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45718</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45718</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45718</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45718</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45718</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45718</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45718</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45718</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45718</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45718</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45718</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45718</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45718</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45718</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45718</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45718</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45718</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45718</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45718</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45718</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45718</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45718</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45718</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45718</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45718</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45718</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45718</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45718</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45718</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45718</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45718</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45718</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45718</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45718</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45718</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45718</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45718</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45718</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45718</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45718</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45718</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45718</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45718</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45718</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45718</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45718</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45718</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45718</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45718</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45718</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45718</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45718</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45718</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45718</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45718</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45718</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45718</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45718</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45718</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45718</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45718</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45718</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45718</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45718</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45718</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45718</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45718</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45718</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45718</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45718</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45718</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45718</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45718</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45718</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45718</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45718</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45718</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45718</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45718</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45718</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45718</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45718</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45718</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45718</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45718</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45718</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45718</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45718</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45718</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45718</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45718</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45718</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45718</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45718</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45718</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45718</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45718</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45718</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45718</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45718</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45718</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45718</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45718</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45718</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45718</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45718</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45718</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45718</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45718</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45718</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45718</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45718</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45718</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45718</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45718</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45718</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45718</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45718</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45718</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45718</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45718</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45718</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45718</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45718</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45718</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45718</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45718</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45718</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45718</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45718</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45718</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45718</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45718</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45718</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45718</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45718</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45718</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45718</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45718</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45718</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45718</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45718</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45718</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45718</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45718</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45718</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45718</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45718</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45718</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45718</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45718</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45718</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45718</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45718</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45718</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45718</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45718</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45718</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45718</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45718</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45718</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45718</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45718</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45718</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45718</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45718</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45718</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45718</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45718</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45718</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45718</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45718</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45718</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45718</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45718</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45718</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45718</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45718</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45718</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45718</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45718</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45718</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45718</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45718</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45718</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45718</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45718</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45718</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45718</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45718</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45718</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45718</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45718</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45718</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45718</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45718</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45718</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45718</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45718</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45718</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45718</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45718</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45718</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45718</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45718</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45718</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45718</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45718</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45718</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45718</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45718</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45718</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45718</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45718</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45718</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45718</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45718</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45718</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45718</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45718</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45718</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45718</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45718</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45718</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45718</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45718</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45718</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45718</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45718</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45718</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45718</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45718</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45718</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45718</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45718</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45718</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45718</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45718</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45718</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45718</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45718</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45718</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45718</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45718</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45718</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45718</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45718</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45718</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45718</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45718</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45718</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45718</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45718</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45718</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45718</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45718</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45718</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45718</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45718</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45718</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45718</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45718</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45718</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45718</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45718</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45718</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45718</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45718</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45718</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45718</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45718</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45718</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45718</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45718</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45718</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45718</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45718</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45718</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45718</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45718</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45718</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45718</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45718</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45718</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45718</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45718</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45718</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45718</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45718</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45718</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45718</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45718</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45718</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45718</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45718</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45718</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45718</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45718</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45718</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45718</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45718</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45718</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45718</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45718</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45718</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45718</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45718</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45718</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45718</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45718</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45718</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45718</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45718</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45718</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45718</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45718</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45718</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45718</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45718</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45718</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45718</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45718</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45718</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45718</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45718</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45718</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45718</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45718</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45718</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45718</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45718</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45718</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45718</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45718</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45718</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45718</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45718</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45718</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45718</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45718</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45718</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45718</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45718</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45718</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45718</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45718</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45718</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45718</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45718</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45718</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45718</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45718</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45718</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45718</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45718</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45718</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45718</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45718</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45718</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45718</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45718</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45718</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45718</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45718</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45718</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45718</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45718</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45718</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45718</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45718</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45718</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45718</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45718</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45718</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45718</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45718</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45718</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45718</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45718</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45718</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45718</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45718</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45718</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45718</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45718</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45718</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45718</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45718</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45718</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45718</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45718</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45718</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45718</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45718</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45718</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45718</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45718</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45718</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45718</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45718</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45718</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45718</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45718</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45718</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45718</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45718</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45718</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45718</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45718</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45718</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45718</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45718</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45718</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45718</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45718</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45718</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45718</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45718</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45718</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45718</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45718</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45718</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45718</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45718</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45718</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45718</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45718</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45718</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45718</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45718</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45718</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45718</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45718</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45718</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45718</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45718</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45718</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45718</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45718</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45718</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45718</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45718</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45718</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45718</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45718</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45718</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45718</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45718</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45718</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45718</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45718</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45718</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45718</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45718</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45718</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45718</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45718</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45718</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45718</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45718</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45718</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45718</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45718</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45718</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45718</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45718</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45718</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45718</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45718</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45718</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45718</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45718</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45718</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45718</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45718</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45718</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45718</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45718</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45718</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45718</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45718</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45718</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45718</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45718</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45718</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45718</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45718</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45718</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45718</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45718</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45718</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45718</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45718</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45718</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45718</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45718</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45718</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45718</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45718</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45718</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45718</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45718</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45718</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45718</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45718</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45718</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45718</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45718</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45718</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45718</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45718</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45718</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45718</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45718</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45718</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45718</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45718</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45718</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45718</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45718</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45718</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45718</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45718</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45718</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45718</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45718</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45718</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45718</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45718</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45718</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45718</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45718</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45718</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45718</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45718</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45718</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45718</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45718</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45718</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45718</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45718</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45718</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45718</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45718</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45718</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45718</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45718</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45718</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45718</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45718</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45718</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45718</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45718</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45718</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45718</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45718</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45718</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45718</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45718</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45718</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45718</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45718</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45718</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45718</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45718</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45718</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45718</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45718</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45718</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45718</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45718</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45718</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45718</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45718</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45718</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45718</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45718</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45718</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45718</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45718</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45718</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45718</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45718</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45718</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45718</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45718</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45718</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45718</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45718</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45718</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45718</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45718</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45718</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45718</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45718</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45718</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45718</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45718</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45718</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45718</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45718</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45718</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45718</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45718</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45718</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45718</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45718</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45718</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45718</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45718</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45718</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45718</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45718</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45718</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45718</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45718</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45718</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45718</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45718</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45718</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45718</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45718</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45718</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45718</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45718</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45718</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45718</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45718</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45718</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45718</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45718</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45718</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45718</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45718</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45718</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45718</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45718</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45718</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45718</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45718</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45718</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45718</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45718</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45718</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45718</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45718</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45718</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45718</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45718</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45718</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45718</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45718</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45718</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45718</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45718</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45718</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45718</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45718</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45718</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45718</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45718</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45718</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45718</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45718</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45718</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45718</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45718</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45718</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45718</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45718</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45718</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45718</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45718</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45718</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45718</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45718</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45718</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45718</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45718</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45718</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45718</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45718</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45718</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45718</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45718</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45718</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45718</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45718</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45718</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45718</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45718</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45718</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45718</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45718</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45718</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45718</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45718</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45718</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45718</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45718</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45718</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45718</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45718</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45718</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45718</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45718</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45718</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45718</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45718</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45718</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45718</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45718</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45718</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45718</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45718</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45718</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45718</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45718</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45718</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45718</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45718</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45718</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45718</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45718</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45718</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45718</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45718</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45718</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45718</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45718</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45718</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45718</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45718</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45718</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45718</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45718</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45718</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45718</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45718</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45718</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45718</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45718</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45718</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45718</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45718</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45718</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45718</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45718</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45718</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45718</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45718</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45718</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45718</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45718</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45718</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45718</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45718</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45718</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45718</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45718</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45718</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45718</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45718</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45718</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45718</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45718</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45718</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45718</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45718</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45718</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45718</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45718</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45718</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45718</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45718</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45718</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45718</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45718</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45718</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45718</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45718</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45718</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45718</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45718</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45718</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45718</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45718</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45718</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45718</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45718</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45718</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45718</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45718</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45718</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45718</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45718</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45718</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45718</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45718</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45718</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45718</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45718</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45718</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45718</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45718</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45718</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45718</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45718</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45718</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45718</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45718</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45718</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45718</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45718</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45718</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45718</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45718</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45718</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45718</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45718</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45718</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45718</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45718</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45718</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45718</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45718</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45718</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45718</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45718</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45718</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45718</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45718</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45718</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45718</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45718</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45718</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45718</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45718</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45718</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45718</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45718</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45718</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45718</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45718</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45718</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45718</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45718</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45718</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45718</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45718</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45718</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45718</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45718</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45718</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45718</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45718</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45718</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45718</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45718</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45718</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45718</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45718</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45718</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45718</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45718</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45718</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45718</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45718</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45718</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45718</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45718</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45718</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45718</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45718</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45718</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45718</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45718</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45718</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45718</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45718</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45718</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45718</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45718</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45718</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45718</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45718</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45718</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45718</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45718</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45718</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45718</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45718</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45718</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45718</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45718</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45718</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45718</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45718</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45718</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45718</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45718</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45718</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45718</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45718</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45718</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45718</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45718</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45718</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45718</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45718</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45718</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45718</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45718</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45718</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45718</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45718</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45718</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45718</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45718</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45718</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45718</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45718</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45718</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45718</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45718</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45718</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45718</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45718</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45718</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45718</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45718</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45718</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45718</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45718</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45718</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45718</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45718</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45718</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45718</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45718</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45718</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45718</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45718</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45718</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45718</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45718</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45718</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45718</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45718</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45718</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45718</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45718</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45718</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45718</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45718</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45718</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45718</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45718</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45718</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45718</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45718</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45718</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45718</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45718</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45718</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45718</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45718</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45718</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45718</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45718</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45718</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45718</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45718</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45718</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45718</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45718</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45718</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45718</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45718</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45718</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45718</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45718</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45718</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45718</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45718</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45718</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45718</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45718</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45718</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45718</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45718</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45718</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45718</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45718</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45718</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45718</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45718</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45718</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45718</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45718</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45718</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45718</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45718</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45718</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45718</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45718</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45718</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45718</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45718</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45718</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45718</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45718</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45718</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45718</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45718</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45718</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45718</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45718</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45718</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45718</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45718</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45718</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45718</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45718</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45718</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45718</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45718</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45718</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45718</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45718</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45718</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45718</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45718</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45718</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45718</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45718</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45718</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45718</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45718</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45718</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45718</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45718</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45718</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45718</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45718</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45718</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45718</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45718</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45718</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45718</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45718</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45718</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45718</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45718</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45718</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45718</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45718</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45718</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45718</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45718</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45718</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45718</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45718</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45718</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45718</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45718</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45718</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45718</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45718</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45718</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45718</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45718</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45718</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45718</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45718</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45718</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45718</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45718</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45718</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45718</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45718</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45718</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45718</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45718</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45718</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45718</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45718</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45718</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45718</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45718</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45718</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45718</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45718</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45718</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45718</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45718</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45718</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45718</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45718</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45718</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45718</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45718</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45718</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45718</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45718</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45718</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45718</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45718</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45718</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45718</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45718</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45718</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45718</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45718</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45718</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45718</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45718</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45718</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45718</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45718</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45718</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45718</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45718</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45718</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45718</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45718</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45718</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45718</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45718</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45718</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45718</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45718</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45718</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45718</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45718</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45718</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45718</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45718</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45718</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45718</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45718</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45718</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45718</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45718</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45718</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45718</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45718</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45718</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45718</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45718</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45718</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45718</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45718</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45718</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45718</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45718</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45718</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45718</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45718</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45718</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45718</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45718</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45718</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45718</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45718</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45718</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45718</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45718</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45718</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45718</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45718</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45718</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45718</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45718</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45718</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45718</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45718</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45718</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45718</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45718</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45718</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45718</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45718</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45718</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45718</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45718</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45718</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45718</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45718</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45718</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45718</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45718</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45718</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45718</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45718</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45718</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45718</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45718</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45718</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45718</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45718</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45718</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45718</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45718</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45718</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45718</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45718</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45718</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45718</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45718</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45718</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45718</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45718</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45718</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45718</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45718</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45718</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45718</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45718</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45718</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45718</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45718</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45718</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45718</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45718</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45718</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45718</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45718</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45718</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45718</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45718</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45718</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45718</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45718</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45718</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45718</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45718</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45718</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45718</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45718</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45718</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45718</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45718</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45718</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45718</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45718</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45718</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45718</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45718</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45718</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45718</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45718</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45718</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45718</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45718</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45718</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45718</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45718</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45718</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45718</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45718</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45718</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45718</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45718</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45718</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45718</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45718</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45718</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45718</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45718</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45718</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45718</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45718</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45718</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45718</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45718</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45718</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45718</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45718</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45718</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45718</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45718</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45718</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45718</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45718</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45718</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45718</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45718</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45718</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45718</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45718</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45718</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45718</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45718</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45718</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45718</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45718</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45718</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45718</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45718</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45718</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45718</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45718</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45718</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45718</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45718</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45718</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45718</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45718</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45718</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45718</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45718</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45718</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45718</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45718</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45718</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45718</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45718</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45718</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45718</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45718</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45718</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45718</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45718</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45718</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45718</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45718</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45718</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45718</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45718</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45718</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45718</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45718</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45718</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45718</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45718</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45718</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45718</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45718</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45718</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45718</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45718</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45718</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45718</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45718</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45718</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45718</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45718</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45718</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45718</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45718</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45718</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45718</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45718</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45718</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45718</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45718</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45718</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45718</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45718</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45718</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45718</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45718</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45718</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45718</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45718</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45718</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45718</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45718</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45718</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45718</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45718</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45718</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45718</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45718</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45718</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45718</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45718</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45718</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45718</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45718</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45718</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45718</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45718</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45718</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45718</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45718</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45718</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45718</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45718</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45718</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45718</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45718</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45718</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45718</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45718</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45718</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45718</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45718</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45718</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45718</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45718</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45718</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45718</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45718</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45718</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45718</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45718</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45718</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45718</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45718</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45718</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45718</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45718</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45718</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45718</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45718</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45718</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45718</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45718</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45718</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45718</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45718</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45718</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45718</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45718</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45718</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45718</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45718</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45718</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45718</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45718</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45718</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45718</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45718</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45718</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45718</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45718</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45718</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45718</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45718</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45718</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45718</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45718</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45718</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45718</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45718</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45718</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45718</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45718</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45718</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45718</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45718</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45718</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45718</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45718</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45718</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45718</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45718</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45718</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45718</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45718</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45718</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45718</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45718</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45718</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45718</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45718</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45718</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45718</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45718</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45718</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45718</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45718</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45718</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45718</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45718</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45718</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45718</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45718</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45718</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45718</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45718</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45718</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45718</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45718</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45718</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45718</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45718</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45718</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45718</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45718</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45718</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45718</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45718</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45718</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45718</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45718</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45718</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45718</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45718</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45718</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45718</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45718</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45718</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45718</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45718</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45718</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45718</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45718</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45718</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45718</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45718</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45718</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45718</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45718</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45718</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45718</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45718</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45718</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45718</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45718</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45718</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45718</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45718</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45718</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45718</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45718</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45718</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45718</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45718</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45718</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45718</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45718</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45718</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45718</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45718</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45718</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45718</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45718</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45718</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45718</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45718</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45718</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45718</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45718</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45718</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45718</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45718</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45718</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45718</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45718</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45718</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45718</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45718</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45718</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45718</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45718</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45718</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45718</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45718</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45718</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45718</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45718</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45718</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45718</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45718</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45718</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45718</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45718</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45718</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45718</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45718</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45718</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45718</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45718</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45718</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45718</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45718</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45718</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45718</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45718</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45718</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45718</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45718</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45718</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45718</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45718</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45718</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45718</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45718</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45718</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45718</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45718</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45718</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45718</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45718</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45718</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45718</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45718</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45718</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45718</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45718</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45718</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45718</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45718</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45718</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45718</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45718</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45718</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45718</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45718</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45718</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45718</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45718</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45718</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45718</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45718</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45718</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45718</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45718</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45718</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45718</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45718</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45718</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45718</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45718</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45718</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45718</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45718</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45718</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45718</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45718</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45718</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45718</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45718</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45718</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45718</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45718</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45718</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45718</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45718</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45718</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45718</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45718</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45718</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45718</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45718</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45718</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45718</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45718</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45718</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45718</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45718</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45718</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45718</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45718</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45718</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45718</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45718</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45718</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45718</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45718</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45718</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45718</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45718</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45718</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45718</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45718</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45718</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45718</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45718</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45718</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45718</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45718</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45718</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45718</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45718</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45718</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45718</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45718</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45718</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45718</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45718</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45718</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45718</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45718</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45718</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45718</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45718</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45718</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45718</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45718</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45718</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45718</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45718</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45718</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45718</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45718</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45718</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45718</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45718</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45718</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45718</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45718</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45718</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45718</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45718</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45718</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45718</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45718</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45718</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45718</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45718</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45718</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45718</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45718</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45718</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45718</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45718</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45718</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45718</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45718</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45718</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45718</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45718</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45718</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45718</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45718</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45718</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45718</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45718</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45718</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45718</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45718</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45718</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45718</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45718</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45718</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45718</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45718</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45718</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45718</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45718</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45718</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45718</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45718</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45718</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45718</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45718</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45718</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45718</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45718</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45718</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45718</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45718</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45718</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45718</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45718</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45718</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45718</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45718</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45718</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45718</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45718</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45718</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45718</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45718</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45718</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45718</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45718</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45718</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45718</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45718</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45718</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45718</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45718</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45718</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45718</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45718</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45718</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45718</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45718</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45718</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45718</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45718</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45718</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45718</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45718</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45718</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45718</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45718</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45718</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45718</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45718</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45718</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45718</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45718</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45718</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45718</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45718</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45718</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45718</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45718</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45718</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45718</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45718</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45718</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45718</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45718</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45718</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45718</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45718</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45718</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45718</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45718</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45718</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45718</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45718</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45718</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45718</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45718</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45718</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45718</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45718</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45718</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45718</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45718</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45718</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45718</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45718</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45718</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45718</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45718</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45718</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45718</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45718</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45718</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45718</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45718</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45718</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45718</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45718</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45718</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45718</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45718</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45718</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45718</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45718</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45718</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45718</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45718</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45718</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45718</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45718</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45718</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45718</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45718</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45718</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45718</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45718</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45718</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45718</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45718</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45718</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45718</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45718</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45718</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45718</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45718</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45718</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45718</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45718</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45718</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45718</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45718</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45718</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45718</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45718</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45718</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45718</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45718</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45718</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45718</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45718</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45718</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45718</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45718</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45718</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45718</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45718</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45718</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45718</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45718</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45718</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45718</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45718</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45718</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45718</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45718</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45718</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45718</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45718</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45718</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45718</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45718</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45718</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45718</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45718</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45718</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45718</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45718</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45718</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45718</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45718</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45718</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45718</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45718</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45718</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45718</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45718</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45718</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45718</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45718</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45718</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45718</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45718</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45718</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45718</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45718</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45718</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45718</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45718</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45718</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45718</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45718</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45718</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45718</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45718</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45718</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45718</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45718</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45718</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45718</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45718</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45718</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45718</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45718</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45718</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45718</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45718</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45718</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45718</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45718</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45718</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45718</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45718</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45718</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45718</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45718</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45718</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45718</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45718</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45718</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45718</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45718</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45718</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45718</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45718</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45718</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45718</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45718</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45718</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45718</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45718</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45718</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45718</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45718</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45718</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45718</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45718</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45718</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45718</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45718</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45718</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45718</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45718</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45718</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45718</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45718</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45718</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45718</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45718</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45718</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45718</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45718</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45718</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45718</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45718</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45718</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45718</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45718</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45718</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45718</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45718</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45718</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45718</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45718</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45718</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45718</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45718</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45718</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45718</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45718</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45718</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45718</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45718</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45718</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45718</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45718</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45718</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45718</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45718</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45718</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45718</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45718</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45718</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45718</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45718</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45718</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45718</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45718</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45718</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45718</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45718</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45718</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45718</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45718</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45718</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45718</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45718</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45718</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45718</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45718</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45718</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45718</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45718</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45718</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45718</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45718</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45718</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45718</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45718</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45718</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45718</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45718</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45718</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45718</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45718</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45718</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45718</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45718</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45718</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45718</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45718</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45718</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45718</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45718</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45718</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45718</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45718</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45718</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45718</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45718</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45718</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45718</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45718</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45718</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45718</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45718</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45718</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45718</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45718</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45718</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45718</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45718</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45718</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45718</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45718</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45718</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45718</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45718</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45718</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45718</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45718</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45718</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45718</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45718</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45718</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45718</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45718</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45718</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45718</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45718</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45718</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45718</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45718</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45718</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45718</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45718</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45718</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45718</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45718</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45718</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45718</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45718</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45718</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45718</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45718</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45718</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45718</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45718</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45718</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45718</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45718</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45718</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45718</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45718</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45718</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45718</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45718</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45718</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45718</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45718</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45718</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45718</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45718</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45718</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45718</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45718</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45718</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45718</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45718</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45718</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45718</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45718</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45718</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45718</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45718</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45718</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45718</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45718</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45718</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45718</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45718</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45718</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45718</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45718</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45718</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45718</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45718</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45718</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45718</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45718</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45718</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45718</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45718</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45718</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45718</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45718</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45718</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45718</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45718</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45718</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45718</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45718</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45718</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45718</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45718</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45718</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45718</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45718</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45718</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45718</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45718</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45718</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45718</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45718</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45718</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45718</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45718</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45718</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45718</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45718</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45718</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45718</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45718</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45718</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45718</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45718</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45718</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45718</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45718</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45718</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45718</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45718</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45718</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45718</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45718</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45718</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45718</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45718</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45718</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45718</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45718</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45718</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45718</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45718</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45718</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45718</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45718</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45718</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45718</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45718</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45718</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45718</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45718</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45718</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45718</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45718</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45718</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45718</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45718</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45718</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45718</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45718</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45718</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45718</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45718</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45718</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45718</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45718</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45718</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45718</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45718</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45718</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45718</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45718</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45718</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45718</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45718</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45718</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45718</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45718</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45718</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45718</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45718</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45718</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45718</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45718</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45718</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45718</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45718</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45718</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45718</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45718</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45718</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45718</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45718</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45718</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45718</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45718</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45718</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45718</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45718</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45718</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45718</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45718</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45718</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45718</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45718</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45718</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45718</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45718</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45718</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45718</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45718</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45718</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45718</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45718</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45718</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45718</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45718</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45718</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45718</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45718</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45718</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45718</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45718</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45718</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45718</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45718</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45718</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45718</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45718</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45718</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45718</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45718</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45718</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45718</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45718</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45718</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45718</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45718</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45718</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45718</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45718</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45718</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45718</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45718</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45718</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45718</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45718</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45718</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45718</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45718</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45718</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45718</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45718</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45718</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45718</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45718</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45718</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45718</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45718</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45718</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45718</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45718</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45718</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45718</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45718</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45718</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45718</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45718</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45718</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45718</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45718</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45718</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45718</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45718</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45718</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45718</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45718</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45718</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45718</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45718</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45718</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45718</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45718</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45718</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45718</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45718</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45718</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45718</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45718</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45718</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45718</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45718</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45718</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45718</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45718</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45718</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45718</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45718</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45718</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45718</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45718</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45718</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45718</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45718</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45718</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45718</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45718</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45718</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45718</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45718</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45718</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45718</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45718</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45718</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45718</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45718</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45718</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45718</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45718</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45718</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45718</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45718</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45718</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45718</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45718</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45718</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45718</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45718</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45718</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45718</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45718</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45718</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45718</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45718</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45718</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45718</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45718</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45718</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45718</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45718</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45718</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45718</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45718</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45718</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45718</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45718</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45718</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45718</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45718</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45718</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45718</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45718</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45718</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45718</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45718</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45718</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45718</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45718</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45718</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45718</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45718</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45718</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45718</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45718</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45718</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45718</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45718</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45718</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45718</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45718</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45718</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45718</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45718</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45718</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45718</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45718</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45718</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45718</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45718</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45718</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45718</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45718</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45718</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45718</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45718</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45718</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45718</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45718</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45718</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45718</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45718</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45718</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45718</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45718</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45718</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45718</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45718</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45718</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45718</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45718</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45718</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45718</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45718</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45718</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45718</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45718</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45718</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45718</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45718</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45718</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45718</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45718</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45718</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45718</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45718</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45718</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45718</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45718</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45718</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45718</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45718</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45718</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45718</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45718</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45718</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45718</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45718</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45718</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45718</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45718</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45718</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45718</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45718</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45718</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45718</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45718</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45718</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45718</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45718</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45718</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45718</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45718</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45718</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45718</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45718</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45718</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45718</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45718</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45718</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45718</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45718</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45718</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45718</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45718</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45718</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45718</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45718</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45718</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45718</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45718</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45718</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45718</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45718</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45718</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45718</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45718</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45718</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45718</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45718</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45718</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45718</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45718</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45718</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45718</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45718</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45718</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45718</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45718</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45718</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45718</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45718</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45718</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45718</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45718</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45718</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45718</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45718</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45718</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45718</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45718</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45718</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45718</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45718</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45718</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45718</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45718</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45718</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45718</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45718</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45718</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45718</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45718</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45718</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45718</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45718</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45718</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45718</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45718</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45718</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45718</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45718</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45718</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45718</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45718</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45718</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45718</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45718</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45718</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45718</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45718</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45718</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45718</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45718</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45718</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45718</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45718</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45718</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45718</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45718</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45718</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45718</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45718</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45718</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45718</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45718</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45718</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45718</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45718</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45718</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45718</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45718</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45718</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45718</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45718</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45718</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45718</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45718</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45718</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45718</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45718</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45718</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45718</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45718</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45718</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45718</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45718</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45718</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45718</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45718</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45718</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45718</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45718</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45718</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45718</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45718</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45718</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45718</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45718</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45718</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45718</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45718</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45718</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45718</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45718</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45718</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45718</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45718</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45718</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45718</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45718</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45718</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45718</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45718</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45718</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45718</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45718</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45718</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45718</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45718</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45718</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45718</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45718</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45718</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45718</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45718</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45718</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45718</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45718</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45718</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45718</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45718</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45718</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45718</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45718</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45718</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45718</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45718</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45718</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45718</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45718</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45718</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45718</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45718</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45718</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45718</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45718</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45718</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45718</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45718</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45718</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45718</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45718</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45718</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45718</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45718</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45718</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45718</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45718</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45718</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45718</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45718</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45718</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45718</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45718</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45718</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45718</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45718</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45718</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45718</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45718</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45718</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45718</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45718</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45718</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45718</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45718</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45718</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45718</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45718</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45718</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45718</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45718</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45718</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45718</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45718</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45718</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45718</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45718</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45718</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45718</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45718</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45718</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45718</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45718</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45718</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45718</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45718</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45718</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45718</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45718</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45718</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45718</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45718</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45718</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45718</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45718</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45718</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45718</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45718</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45718</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45718</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45718</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45718</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45718</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45718</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45718</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45718</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45718</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45718</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45718</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45718</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45718</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45718</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45718</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45718</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45718</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45718</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45718</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45718</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45718</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45718</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45718</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45718</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45718</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45718</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45718</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45718</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45718</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45718</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45718</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45718</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45718</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45718</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45718</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45718</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45718</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45718</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45718</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45718</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45718</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45718</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45718</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45718</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45718</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45718</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45718</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45718</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45718</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45718</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45718</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45718</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45718</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45718</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45718</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45718</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45718</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45718</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45718</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45718</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45718</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45718</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45718</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45718</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45718</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45718</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45718</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45718</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45718</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45718</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45718</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45718</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45718</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45718</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45718</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45718</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45718</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45718</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45718</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45718</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45718</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45718</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45718</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45718</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45718</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45718</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45718</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45718</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45718</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45718</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45718</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45718</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45718</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45718</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45718</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45718</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45718</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45718</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45718</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45718</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45718</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45718</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45718</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45718</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45718</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45718</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45718</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45718</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45718</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45718</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45718</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45718</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45718</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45718</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45718</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45718</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45718</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45718</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45718</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45718</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45718</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45718</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45718</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45718</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45718</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45718</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45718</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45718</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45718</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45718</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45718</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45718</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45718</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45718</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45718</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45718</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45718</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45718</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45718</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45718</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45718</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45718</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45718</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45718</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45718</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45718</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45718</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45718</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45718</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45718</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45718</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45718</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45718</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45718</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45718</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45718</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45718</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45718</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45718</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45718</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45718</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45718</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45718</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45718</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45718</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45718</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45718</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45718</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45718</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45718</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45718</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45718</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45718</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45718</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45718</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45718</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45718</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45718</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45718</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45718</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45718</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45718</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45718</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45718</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45718</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45718</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45718</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45718</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45718</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45718</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45718</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45718</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45718</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45718</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45718</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45718</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45718</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45718</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45718</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45718</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45718</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45718</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45718</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45718</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45718</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45718</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45718</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45718</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45718</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45718</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45718</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45718</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45718</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45718</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45718</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45718</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45718</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45718</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45718</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45718</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45718</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45718</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45718</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45718</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45718</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45718</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45718</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45718</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45718</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45718</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45718</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45718</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45718</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45718</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45718</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45718</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45718</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45718</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45718</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45718</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45718</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45718</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45718</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45718</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45718</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45718</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45718</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45718</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45718</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45718</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45718</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45718</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45718</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45718</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45718</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45718</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45718</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45718</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45718</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45718</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45718</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45718</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45718</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45718</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45718</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45718</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45718</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45718</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45718</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45718</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45718</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45718</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45718</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45718</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45718</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45718</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45718</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45718</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45718</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45718</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45718</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45718</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45718</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45718</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45718</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45718</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45718</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45718</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45718</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45718</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45718</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45718</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45718</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45718</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45718</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45718</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45718</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45718</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45718</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45718</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45718</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45718</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45718</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45718</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45718</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45718</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45718</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45718</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45718</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45718</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45718</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45718</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45718</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45718</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45718</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45718</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45718</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45718</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45718</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45718</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45718</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45718</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45718</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45718</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45718</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45718</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45718</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45718</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45718</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45718</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45718</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45718</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45718</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45718</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45718</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45718</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45718</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45718</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45718</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45718</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45718</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45718</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45718</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45718</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45718</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45718</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45718</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45718</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45718</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45718</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45718</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45718</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45718</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45718</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45718</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45718</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45718</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45718</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45718</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45718</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45718</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45718</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45718</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45718</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45718</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45718</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45718</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45718</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45718</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45718</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45718</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45718</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45718</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45718</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45718</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45718</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45718</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45718</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45718</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45718</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45718</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45718</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45718</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45718</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45718</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45718</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45718</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45718</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45718</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45718</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45718</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45718</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45718</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45718</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45718</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45718</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45718</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45718</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45718</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45718</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45718</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45718</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45718</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45718</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45718</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45718</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45718</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45718</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45718</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45718</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45718</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45718</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45718</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45718</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45718</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45718</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45718</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45718</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45718</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45718</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45718</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45718</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45718</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45718</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45718</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45718</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45718</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45718</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45718</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45718</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45718</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45718</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45718</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45718</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45718</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45718</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45718</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45718</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45718</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45718</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45718</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45718</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45718</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45718</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45718</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45718</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45718</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45718</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45718</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45718</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45718</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45718</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45718</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45718</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45718</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45718</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45718</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45718</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45718</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45718</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45718</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45718</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45718</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45718</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45718</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45718</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45718</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45718</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45718</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45718</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45718</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45718</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45718</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45718</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45718</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45718</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45718</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45718</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45718</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45718</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45718</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45718</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45718</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45718</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45718</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45718</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45718</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45718</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45718</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45718</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45718</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45718</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45718</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45718</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45718</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45718</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45718</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45718</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45718</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45718</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45718</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45718</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45718</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45718</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45718</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45718</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45718</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45718</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45718</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45718</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45718</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45718</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45718</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45718</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45718</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45718</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45718</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45718</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45718</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45718</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45718</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45718</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45718</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45718</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45718</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45718</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45718</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45718</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45718</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45718</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45718</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45718</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45718</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45718</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45718</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45718</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45718</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45718</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45718</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45718</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45718</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45718</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45718</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45718</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45718</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45718</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45718</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45718</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45718</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45718</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45718</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45718</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45718</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45718</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45718</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45718</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45718</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45718</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45718</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45718</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45718</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45718</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45718</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45718</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45718</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45718</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45718</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45718</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45718</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45718</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45718</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45718</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45718</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45718</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45718</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45718</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45718</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45718</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45718</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45718</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45718</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45718</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45718</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45718</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45718</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45718</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45718</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45718</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45718</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45718</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45718</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45718</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45718</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45718</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45718</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45718</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45718</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45718</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45718</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45718</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45718</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45718</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45718</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45718</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45718</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45718</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45718</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45718</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45718</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45718</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45718</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45718</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45718</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45718</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45718</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45718</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45718</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45718</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45718</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45718</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45718</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45718</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45718</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45718</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45718</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45718</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45718</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45718</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45718</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45718</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45718</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45718</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45718</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45718</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45718</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45718</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45718</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45718</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45718</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45718</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45718</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45718</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45718</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45718</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45718</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45718</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45718</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45718</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45718</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45718</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45718</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45718</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45718</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45718</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45718</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45718</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45718</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45718</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45718</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45718</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45718</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45718</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45718</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45718</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45718</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45718</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45718</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45718</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45718</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45718</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45718</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45718</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45718</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45718</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45718</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45718</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45718</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45718</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45718</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45718</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45718</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45718</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45718</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45718</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45718</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45718</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45718</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45718</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45718</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45718</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45718</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45718</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45718</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45718</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45718</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45718</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45718</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45718</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45718</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45718</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45718</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45718</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45718</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45718</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45718</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45718</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45718</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45718</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45718</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45718</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45718</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45718</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45718</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45718</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45718</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45718</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45718</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45718</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45718</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45718</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45718</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45718</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45718</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45718</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45718</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45718</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45718</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45718</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45718</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45718</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45718</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45718</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45718</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45718</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45718</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45718</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45718</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45718</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45718</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45718</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45718</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45718</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45718</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45718</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45718</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45718</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45718</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45718</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45718</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45718</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45718</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45718</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45718</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45718</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45718</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45718</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45718</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45718</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45718</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45718</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45718</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45718</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45718</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45718</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45718</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45718</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45718</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45718</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45718</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45718</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45718</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45718</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45718</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45718</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45718</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45718</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45718</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45718</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45718</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45718</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45718</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45718</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45718</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45718</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45718</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45718</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45718</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45718</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45718</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45718</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45718</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45718</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45718</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45718</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45718</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45718</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45718</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45718</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45718</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45718</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45718</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45718</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45718</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45718</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45718</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45718</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45718</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45718</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45718</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45718</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45718</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45718</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45718</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45718</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45718</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45718</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45718</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45718</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45718</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45718</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45718</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45718</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45718</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45718</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45718</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45718</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45718</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45718</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45718</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45718</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45718</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45718</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45718</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45718</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45718</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45718</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45718</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45718</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45718</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45718</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45718</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45718</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45718</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45718</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45718</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45718</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45718</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45718</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45718</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45718</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45718</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45718</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45718</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45718</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45718</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45718</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45718</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45718</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45718</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45718</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45718</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45718</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45718</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45718</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45718</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45718</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45718</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45718</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45718</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45718</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45718</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45718</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45718</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45718</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45718</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45718</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45718</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45718</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45718</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45718</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45718</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45718</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45718</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45718</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45718</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45718</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45718</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45718</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45718</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45718</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45718</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45718</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45718</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45718</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45718</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45718</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45718</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45718</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45718</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45718</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45718</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45718</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45718</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45718</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45718</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45718</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45718</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45718</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45718</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45718</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45718</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45718</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45718</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45718</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45718</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45718</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45718</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45718</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45718</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45718</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45718</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45718</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45718</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45718</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45718</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45718</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45718</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45718</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45718</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45718</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45718</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45718</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45718</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45718</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45718</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45718</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45718</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45718</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45718</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45718</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45718</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45718</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45718</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45718</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45718</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45718</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45718</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45718</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45718</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45718</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45718</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45718</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45718</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45718</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45718</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45718</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45718</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45718</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45718</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45718</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45718</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45718</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45718</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45718</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45718</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45718</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45718</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45718</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45718</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45718</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45718</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45718</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45718</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45718</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45718</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45718</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45718</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45718</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45718</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45718</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45718</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45718</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45718</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45718</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45718</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45718</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45718</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45718</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45718</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45718</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45718</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45718</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45718</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45718</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45718</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45718</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45718</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45718</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45718</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45718</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45718</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45718</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45718</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45718</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45718</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45718</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45718</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45718</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45718</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45718</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45718</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45718</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45718</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45718</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45718</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45718</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45718</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45718</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45718</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45718</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45718</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45718</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45718</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45718</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45718</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45718</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45718</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45718</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45718</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45718</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45718</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45718</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45718</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45718</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45718</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45718</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45718</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45718</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45718</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45718</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45718</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45718</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45718</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45718</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45718</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45718</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45718</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45718</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45718</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45718</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45718</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45718</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45718</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45718</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45718</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45718</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45718</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45718</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45718</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45718</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45718</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45718</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45718</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45718</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45718</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45718</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45718</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45718</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45718</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45718</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45718</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45718</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45718</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45718</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45718</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45718</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45718</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45718</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45718</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45718</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45718</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45718</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45718</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45718</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45718</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45718</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45718</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45718</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45718</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45718</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45718</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45718</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45718</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45718</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45718</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45718</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45718</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45718</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45718</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45718</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45718</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45718</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45718</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45718</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45718</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45718</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45718</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45718</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45718</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45718</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45718</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45718</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45718</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45718</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45718</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45718</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45718</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45718</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45718</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45718</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45718</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45718</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45718</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45718</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45718</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45718</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45718</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45718</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45718</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45718</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45718</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45718</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45718</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45718</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45718</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45718</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45718</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45718</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45718</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45718</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45718</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45718</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45718</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45718</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45718</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45718</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45718</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45718</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45718</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45718</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45718</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45718</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45718</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45718</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45718</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45718</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45718</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45718</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45718</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45718</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45718</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45718</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45718</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45718</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45718</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45718</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45718</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45718</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45718</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45718</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45718</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45718</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45718</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45718</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45718</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45718</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45718</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45718</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45718</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45718</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45718</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45718</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45718</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45718</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45718</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45718</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45718</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45718</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45718</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45718</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45718</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45718</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45718</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45718</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45718</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45718</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45718</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45718</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45718</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45718</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45718</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45718</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45718</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45718</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45718</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45718</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45718</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45718</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45718</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45718</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45718</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45718</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45718</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45718</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45718</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45718</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45718</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45718</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45718</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45718</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45718</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45718</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45718</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45718</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45718</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45718</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45718</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45718</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45718</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45718</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45718</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45718</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45718</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45718</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45718</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45718</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45718</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45718</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45718</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45718</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45718</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45718</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45718</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45718</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45718</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45718</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45718</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45718</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45718</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45718</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45718</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45718</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45718</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45718</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45718</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45718</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45718</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45718</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45718</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45718</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45718</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45718</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45718</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45718</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45718</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45718</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45718</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45718</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45718</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45718</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45718</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45718</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45718</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45718</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45718</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45718</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45718</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45718</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45718</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45718</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45718</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45718</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45718</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45718</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45718</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45718</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45718</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45718</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45718</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45718</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45718</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45718</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45718</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45718</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45718</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45718</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45718</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45718</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45718</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45718</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45718</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45718</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45718</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45718</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45718</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45718</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45718</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45718</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45718</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45718</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45718</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45718</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45718</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45718</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45718</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45718</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45718</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45718</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45718</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45718</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45718</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45718</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45718</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45718</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45718</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45718</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45718</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45718</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45718</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45718</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45718</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45718</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45718</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45718</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45718</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45718</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45718</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45718</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45718</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45718</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45718</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45718</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45718</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45718</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45718</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45718</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45718</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45718</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45718</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45718</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45718</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45718</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45718</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45718</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45718</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45718</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45718</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45718</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45718</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45718</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45718</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45718</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45718</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45718</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45718</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45718</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45718</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45718</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45718</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45718</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45718</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45718</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45718</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45718</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45718</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45718</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45718</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45718</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45718</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45718</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45718</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45718</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45718</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45718</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45718</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45718</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45718</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45718</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45718</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45718</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45718</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45718</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45718</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45718</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45718</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45718</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45718</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45718</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45718</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45718</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45718</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45718</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45718</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45718</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45718</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45718</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45718</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45718</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45718</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45718</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45718</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45718</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45718</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45718</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45718</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45718</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45718</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45718</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45718</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45718</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45718</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45718</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45718</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45718</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45718</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45718</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45718</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45718</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45718</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45718</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45718</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45718</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45718</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45718</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45718</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45718</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45718</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45718</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45718</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45718</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45718</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45718</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45718</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45718</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45718</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45718</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45718</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45718</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45718</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45718</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45718</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45718</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45718</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45718</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45718</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45718</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45718</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45718</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45718</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45718</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45718</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45718</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45718</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45718</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45718</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45718</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45718</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45718</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45718</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45718</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45718</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45718</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45718</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45718</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45718</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45718</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45718</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45718</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45718</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45718</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45718</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45718</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45718</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45718</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45718</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45718</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45718</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45718</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45718</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45718</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45718</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45718</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45718</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45718</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45718</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45718</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45718</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45718</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45718</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45718</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45718</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45718</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45718</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45718</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45718</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45718</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45718</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45718</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45718</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45718</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45718</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45718</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45718</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45718</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45718</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45718</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45718</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45718</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45718</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45718</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45718</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45718</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45718</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45718</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45718</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45718</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45718</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45718</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45718</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45718</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45718</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45718</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45718</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45718</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45718</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45718</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45718</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45718</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45718</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45718</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45718</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45718</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45718</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45718</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45718</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45718</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45718</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45718</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45718</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45718</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45718</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45718</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45718</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45718</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45718</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45718</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45718</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45718</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45718</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45718</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45718</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45718</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45718</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45718</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45718</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45718</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45718</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45718</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45718</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45718</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45718</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45718</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45718</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45718</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45718</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45718</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45718</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45718</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45718</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45718</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45718</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45718</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45718</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45718</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45718</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45718</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45718</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45718</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45718</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45718</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45718</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45718</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45718</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45718</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45718</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45718</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45718</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45718</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45718</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45718</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45718</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45718</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45718</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45718</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45718</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45718</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45718</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45718</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45718</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45718</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45718</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45718</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45718</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45718</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45718</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45718</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45718</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45718</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45718</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45718</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45718</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45718</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45718</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45718</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45718</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45718</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45718</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45718</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45718</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45718</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45718</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45718</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45718</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45718</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45718</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45718</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45718</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45718</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45718</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45718</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45718</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45718</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45718</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45718</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45718</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45718</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45718</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45718</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45718</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45718</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45718</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45718</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45718</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45718</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45718</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45718</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45718</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45718</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45718</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45718</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45718</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45718</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45718</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45718</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45718</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45718</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45718</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45718</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45718</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45718</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45718</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45718</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45718</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45718</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45718</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45718</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45718</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45718</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45718</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45718</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45718</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45718</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45718</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45718</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45718</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45718</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45718</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45718</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45718</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45718</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45718</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45718</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45718</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45718</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45718</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45718</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45718</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45718</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45718</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45718</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45718</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45718</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45718</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45718</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45718</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45718</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45718</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45718</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45718</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45718</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45718</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45718</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45718</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45718</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45718</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45718</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45718</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45718</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45718</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45718</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45718</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45718</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45718</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45718</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45718</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45718</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45718</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45718</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45718</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45718</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45718</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45718</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45718</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45718</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45718</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45718</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45718</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45718</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45718</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45718</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45718</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45718</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45718</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45718</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45718</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45718</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45718</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45718</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45718</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45718</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45718</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45718</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45718</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45718</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45718</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45718</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45718</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45718</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45718</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45718</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45718</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45718</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45718</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45718</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45718</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45718</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45718</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45718</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45718</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45718</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45718</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45718</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45718</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45718</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45718</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45718</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45718</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45718</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45718</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45718</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45718</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45718</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45718</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45718</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45718</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45718</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45718</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45718</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45718</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45718</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45718</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45718</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45718</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45718</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45718</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45718</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45718</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45718</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45718</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45718</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45718</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45718</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45718</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45718</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45718</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45718</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45718</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45718</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45718</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45718</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45718</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45718</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45718</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45718</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45718</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45718</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45718</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45718</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45718</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45718</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45718</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45718</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45718</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45718</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45718</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45718</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45718</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45718</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45718</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45718</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45718</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45718</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45718</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45718</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45718</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45718</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45718</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45718</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45718</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45718</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45718</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45718</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45718</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45718</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45718</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45718</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45718</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45718</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45718</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45718</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45718</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45718</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45718</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45718</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45718</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45718</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45718</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45718</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45718</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45718</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45718</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45718</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45718</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45718</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45718</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45718</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45718</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45718</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45718</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45718</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45718</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45718</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45718</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45718</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45718</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45718</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45718</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45718</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45718</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45718</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45718</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45718</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45718</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45718</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45718</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45718</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45718</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45718</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45718</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45718</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45718</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45718</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45718</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45718</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45718</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45718</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45718</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45718</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45718</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45718</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45718</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45718</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45718</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45718</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45718</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45718</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45718</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45718</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45718</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45718</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45718</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45718</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45718</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45718</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45718</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45718</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45718</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45718</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45718</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45718</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45718</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45718</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45718</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45718</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45718</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45718</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45718</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45718</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45718</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45718</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45718</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45718</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45718</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45718</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45718</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45718</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45718</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45718</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45718</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45718</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45718</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45718</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45718</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45718</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45718</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45718</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45718</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45718</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45718</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45718</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45718</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45718</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45718</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45718</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45718</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45718</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45718</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45718</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45718</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45718</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45718</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45718</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45718</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45718</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45718</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45718</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45718</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45718</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45718</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45718</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45718</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45718</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45718</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45718</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45718</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45718</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45718</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45718</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45718</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45718</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45718</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45718</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45718</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45718</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45718</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45718</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45718</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45718</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45718</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45718</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45718</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45718</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45718</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45718</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45718</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45718</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45718</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45718</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45718</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45718</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45718</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45718</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45718</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45718</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45718</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45718</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45718</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45718</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45718</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45718</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45718</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45718</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45718</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45718</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45718</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45718</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45718</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45718</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45718</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45718</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45718</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45718</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45718</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45718</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45718</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45718</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45718</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45718</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45718</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45718</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45718</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45718</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45718</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45718</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45718</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45718</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45718</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45718</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45718</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45718</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45718</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45718</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45718</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45718</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45718</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45718</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45718</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45718</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45718</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45718</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45718</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45718</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45718</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45718</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45718</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45718</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45718</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45718</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45718</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45718</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45718</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45718</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45718</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45718</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45718</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45718</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45718</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45718</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45718</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45718</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45718</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45718</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45718</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45718</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45718</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45718</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45718</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45718</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45718</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45718</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45718</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45718</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45718</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45718</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45718</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45718</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45718</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45718</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45718</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45718</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45718</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45718</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45718</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45718</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45718</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45718</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45718</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45718</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45718</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45718</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45718</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45718</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45718</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45718</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45718</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45718</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45718</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45718</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45718</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45718</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45718</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45718</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45718</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45718</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45718</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45718</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45718</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45718</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45718</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45718</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45718</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45718</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45718</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45718</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45718</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45718</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45718</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45718</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45718</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45718</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45718</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45718</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45718</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45718</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45718</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45718</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45718</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45718</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45718</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45718</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45718</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45718</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45718</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45718</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45718</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45718</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45718</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45718</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45718</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45718</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45718</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45718</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45718</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45718</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45718</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45718</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45718</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45718</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45718</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45718</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45718</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45718</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45718</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45718</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45718</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45718</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45718</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45718</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45718</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45718</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45718</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45718</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45718</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45718</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45718</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45718</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45718</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45718</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45718</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45718</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45718</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45718</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45718</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45718</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45718</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45718</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45718</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45718</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45718</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45718</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45718</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45718</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45718</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45718</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45718</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45718</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45718</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45718</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45718</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45718</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45718</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45718</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45718</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45718</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45718</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45718</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45718</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45718</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45718</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45718</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45718</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45718</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45718</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45718</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45718</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45718</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45718</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45718</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45718</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45718</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45718</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45718</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45718</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45718</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45718</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45718</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45718</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45718</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45718</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45718</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45718</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45718</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45718</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45718</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45718</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45718</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45718</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45718</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45718</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45718</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45718</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45718</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45718</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45718</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45718</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45718</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45718</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45718</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45718</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45718</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45718</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45718</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45718</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45718</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45718</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45718</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45718</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45718</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45718</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45718</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45718</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45718</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45718</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45718</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45718</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45718</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45718</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45718</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45718</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45718</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45718</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45718</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45718</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45718</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45718</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45718</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45718</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45718</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45718</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45718</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45718</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45718</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45718</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45718</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45718</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45718</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45718</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45718</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45718</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45718</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45718</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45718</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45718</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45718</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45718</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45718</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45718</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45718</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45718</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45718</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45718</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45718</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45718</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45718</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45718</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45718</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45718</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45718</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45718</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45718</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45718</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45718</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45718</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45718</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45718</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45718</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45718</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45718</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45718</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45718</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45718</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45718</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45718</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45718</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45718</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45718</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45718</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45718</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45718</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45718</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45718</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45718</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45718</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45718</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45718</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45718</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45718</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45718</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45718</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45718</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45718</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45718</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45718</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45718</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45718</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45718</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45718</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45718</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45718</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45718</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45718</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45718</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45718</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45718</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45718</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45718</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45718</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45718</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45718</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45718</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45718</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45718</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45718</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45718</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45718</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45718</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45718</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45718</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45718</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45718</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45718</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45718</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45718</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45718</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45718</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45718</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45718</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45718</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45718</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45718</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45718</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45718</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45718</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45718</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45718</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45718</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45718</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45718</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45718</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45718</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45718</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45718</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45718</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45718</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45718</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45718</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45718</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45718</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45718</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45718</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45718</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45718</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45718</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45718</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45718</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45718</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45718</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45718</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45718</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45718</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45718</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45718</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45718</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45718</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45718</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45718</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45718</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45718</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45718</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45718</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45718</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45718</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45718</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45718</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45718</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45718</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45718</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45718</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45718</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45718</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45718</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45718</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45718</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45718</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45718</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45718</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45718</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45718</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45718</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45718</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45718</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45718</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45718</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45718</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45718</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45718</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45718</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45718</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45718</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45718</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45718</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45718</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45718</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45718</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45718</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45718</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45718</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45718</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45718</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45718</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45718</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45718</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45718</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45718</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45718</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45718</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45718</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45718</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45718</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45718</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45718</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45718</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45718</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45718</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45718</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45718</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45718</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45718</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45718</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45718</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45718</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45718</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45718</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45718</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45718</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45718</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45718</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45718</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45718</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45718</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45718</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45718</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45718</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45718</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45718</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45718</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45718</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45718</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45718</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45718</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45718</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45718</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45718</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45718</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45718</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45718</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45718</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45718</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45718</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45718</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45718</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45718</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45718</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45718</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45718</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45718</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45718</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45718</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45718</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45718</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45718</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45718</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45718</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45718</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45718</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45718</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45718</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45718</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45718</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45718</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45718</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45718</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45718</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45718</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45718</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45718</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45718</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45718</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45718</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45718</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45718</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45718</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45718</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45718</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45718</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45718</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45718</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45718</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45718</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45718</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45718</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45718</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45718</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45718</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45718</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45718</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45718</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45718</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45718</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45718</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45718</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45718</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45718</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45718</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45718</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45718</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45718</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45718</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45718</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45718</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45718</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45718</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45718</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45718</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45718</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45718</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45718</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45718</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45718</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45718</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45718</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45718</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45718</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45718</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45718</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45718</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45718</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45718</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45718</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45718</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45718</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45718</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45718</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45718</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45718</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45718</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45718</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45718</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45718</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45718</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45718</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45718</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45718</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45718</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45718</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45718</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45718</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45718</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45718</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45718</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45718</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45718</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45718</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45718</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45718</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45718</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45718</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45718</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45718</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45718</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45718</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45718</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45718</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45718</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45718</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45718</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45718</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45718</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45718</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45718</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45718</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45718</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45718</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45718</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45718</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45718</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45718</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45718</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45718</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45718</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45718</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45718</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45718</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45718</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45718</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45718</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45718</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45718</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45718</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45718</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45718</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45718</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45718</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45718</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45718</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45718</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45718</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45718</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45718</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45718</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45718</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45718</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45718</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45718</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45718</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45718</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45718</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45718</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45718</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45718</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45718</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45718</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45718</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45718</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45718</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45718</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45718</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45718</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45718</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45718</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45718</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45718</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45718</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45718</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45718</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45718</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45718</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45718</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45718</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45718</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45718</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45718</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45718</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45718</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45718</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45718</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45718</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45718</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45718</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45718</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45718</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45718</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45718</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45718</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45718</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45718</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45718</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45718</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45718</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45718</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45718</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45718</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45718</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45718</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45718</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45718</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45718</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45718</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45718</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45718</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45718</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45718</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45718</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45718</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45718</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45718</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45718</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45718</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45718</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45718</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45718</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45718</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45718</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45718</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45718</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45718</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45718</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45718</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45718</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45718</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45718</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45718</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45718</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45718</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45718</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45718</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45718</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45718</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45718</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45718</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45718</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45718</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45718</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45718</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45718</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45718</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45718</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45718</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45718</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45718</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45718</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45718</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45718</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45718</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45718</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45718</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45718</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45718</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45718</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45718</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45718</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45718</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45718</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45718</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45718</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45718</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45718</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45718</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45718</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45718</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45718</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45718</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45718</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45718</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45718</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45718</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45718</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45718</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45718</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45718</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45718</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45718</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45718</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45718</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45718</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45718</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45718</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45718</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45718</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45718</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45718</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45718</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45718</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45718</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45718</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45718</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45718</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45718</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45718</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45718</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45718</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45718</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45718</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45718</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45718</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45718</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45718</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45718</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45718</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45718</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45718</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45718</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45718</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45718</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45718</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45718</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45718</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45718</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45718</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45718</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45718</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45718</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45718</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45718</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45718</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45718</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45718</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45718</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45718</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45718</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45718</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45718</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45718</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45718</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45718</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45718</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45718</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45718</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45718</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45718</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45718</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45718</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45718</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45718</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45718</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45718</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45718</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45718</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45718</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45718</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45718</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45718</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45718</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45718</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45718</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45718</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45718</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45718</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45718</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45718</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45718</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45718</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45718</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45718</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45718</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45718</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45718</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45718</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45718</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45718</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45718</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45718</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45718</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45718</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45718</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45718</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45718</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45718</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45718</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45718</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45718</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45718</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45718</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45718</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45718</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45718</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45718</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45718</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45718</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45718</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45718</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45718</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45718</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45718</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45718</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45718</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45718</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45718</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45718</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45718</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45718</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45718</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45718</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45718</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45718</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45718</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45718</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45718</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45718</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45718</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45718</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45718</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45718</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45718</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45718</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45718</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45718</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45718</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45718</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45718</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45718</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45718</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45718</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45718</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45718</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45718</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45718</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45718</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45718</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45718</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45718</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45718</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45718</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45718</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45718</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45718</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45718</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45718</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45718</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45718</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45718</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45718</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45718</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45718</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45718</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45718</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45718</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45718</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45718</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45718</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45718</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45718</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45718</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45718</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45718</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45718</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45718</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45718</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45718</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45718</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45718</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45718</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45718</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45718</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45718</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45718</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45718</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45718</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45718</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45718</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45718</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45718</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45718</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45718</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45718</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45718</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45718</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45718</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45718</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45718</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45718</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45718</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45718</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45718</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45718</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45718</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45718</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45718</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45718</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45718</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45718</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45718</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45718</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45718</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45718</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45718</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45718</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45718</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45718</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45718</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45718</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45718</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45718</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45718</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45718</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45718</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45718</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45718</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45718</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45718</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45718</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45718</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45718</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45718</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45718</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45718</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45718</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45718</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45718</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45718</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45718</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45718</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45718</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45718</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45718</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45718</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45718</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45718</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45718</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45718</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45718</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45718</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45718</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45718</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45718</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45718</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45718</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45718</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45718</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45718</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45718</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45718</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45718</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45718</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45718</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45718</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45718</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45718</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45718</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45718</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45718</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45718</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45718</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45718</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45718</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45718</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45718</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45718</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45718</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45718</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45718</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45718</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45718</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45718</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45718</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45718</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45718</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45718</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45718</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45718</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45718</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45718</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45718</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45718</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45718</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45718</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45718</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45718</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45718</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45718</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45718</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45718</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45718</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45718</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45718</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45718</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45718</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45718</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45718</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45718</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45718</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45718</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45718</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45718</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45718</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45718</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45718</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45718</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45718</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45718</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45718</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45718</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45718</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45718</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45718</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45718</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45718</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45718</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45718</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45718</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45718</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45718</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45718</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45718</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45718</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45718</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45718</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45718</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45718</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45718</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45718</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45718</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45718</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45718</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45718</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45718</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45718</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45718</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45718</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45718</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45718</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45718</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45718</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45718</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45718</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45718</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45718</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45718</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45718</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45718</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45718</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45718</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45718</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45718</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45718</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45718</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45718</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45718</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45718</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45718</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45718</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45718</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45718</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45718</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45718</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45718</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45718</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45718</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45718</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45718</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45718</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45718</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45718</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45718</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45718</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45718</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45718</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45718</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45718</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45718</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45718</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45718</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45718</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45718</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45718</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45718</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45718</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45718</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45718</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45718</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45718</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45718</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45718</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45718</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45718</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45718</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45718</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45718</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45718</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45718</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45718</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45718</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45718</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45718</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45718</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45718</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45718</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45718</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45718</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45718</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45718</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45718</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45718</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45718</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45718</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45718</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45718</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45718</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45718</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45718</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45718</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45718</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45718</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45718</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45718</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45718</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45718</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45718</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45718</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45718</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45718</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45718</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45718</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45718</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45718</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45718</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45718</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45718</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45718</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45718</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45718</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45718</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45718</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45718</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45718</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45718</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45718</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45718</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45718</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45718</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45718</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45718</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45718</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45718</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45718</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45718</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45718</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45718</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45718</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45718</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45718</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45718</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45718</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45718</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45718</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45718</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45718</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45718</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45718</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45718</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45718</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45718</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45718</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45718</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45718</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45718</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45718</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45718</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45718</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45718</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45718</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45718</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45718</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45718</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45718</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45718</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45718</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45718</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45718</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45718</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45718</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45718</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45718</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45718</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45718</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45718</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45718</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45718</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45718</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45718</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45718</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45718</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45718</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45718</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45718</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45718</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45718</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45718</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45718</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45718</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45718</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45718</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45718</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45718</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45718</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45718</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45718</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45718</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45718</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45718</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45718</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45718</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45718</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45718</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45718</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45718</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45718</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45718</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45718</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45718</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45718</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45718</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45718</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45718</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45718</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45718</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45718</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45718</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45718</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45718</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45718</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45718</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45718</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45718</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45718</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45718</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45718</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45718</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45718</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45718</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45718</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45718</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45718</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45718</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45718</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45718</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45718</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45718</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45718</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45718</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45718</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45718</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45718</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45718</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45718</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45718</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45718</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45718</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45718</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45718</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45718</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45718</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45718</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45718</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45718</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45718</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45718</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45718</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45718</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45718</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45718</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45718</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45718</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45718</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45718</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45718</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45718</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45718</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45718</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45718</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45718</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45718</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45718</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45718</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45718</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45718</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45718</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45718</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45718</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45718</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45718</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45718</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45718</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45718</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45718</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45718</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45718</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45718</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45718</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45718</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45718</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45718</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45718</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45718</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45718</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45718</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45718</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45718</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45718</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45718</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45718</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45718</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45718</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45718</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45718</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45718</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45718</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45718</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45718</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45718</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45718</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45718</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45718</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45718</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45718</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45718</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45718</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45718</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45718</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45718</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45718</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45718</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45718</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45718</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45718</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45718</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45718</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45718</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45718</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45718</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45718</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45718</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45718</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45718</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45718</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45718</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45718</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45718</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45718</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45718</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45718</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45718</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45718</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45718</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45718</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45718</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45718</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45718</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45718</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45718</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45718</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45718</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45718</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45718</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45718</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45718</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45718</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45718</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45718</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45718</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45718</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45718</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45718</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45718</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45718</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45718</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45718</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45718</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45718</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45718</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45718</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45718</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45718</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45718</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45718</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45718</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45718</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45718</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45718</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45718</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45718</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45718</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45718</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45718</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45718</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45718</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45718</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45718</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45718</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45718</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45718</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45718</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45718</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45718</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45718</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45718</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45718</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45718</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45718</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45718</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45718</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45718</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45718</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45718</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45718</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45718</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45718</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45718</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45718</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45718</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45718</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45718</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45718</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45718</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45718</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45718</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45718</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45718</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45718</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45718</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45718</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45718</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45718</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45718</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45718</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45718</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45718</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45718</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45718</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45718</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45718</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45718</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45718</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45718</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45718</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45718</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45718</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45718</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45718</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45718</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45718</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45718</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45718</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45718</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45718</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45718</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45718</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45718</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45718</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45718</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45718</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45718</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45718</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45718</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45718</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45718</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45718</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45718</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45718</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45718</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45718</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45718</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45718</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45718</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45718</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45718</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45718</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45718</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45718</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45718</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45718</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45718</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45718</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45718</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45718</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45718</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45718</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45718</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45718</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45718</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45718</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45718</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45718</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45718</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45718</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45718</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45718</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45718</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45718</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45718</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45718</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45718</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45718</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45718</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45718</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45718</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45718</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45718</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45718</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45718</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45718</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45718</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45718</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45718</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45718</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45718</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45718</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45718</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45718</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45718</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45718</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45718</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45718</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45718</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45718</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45718</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45718</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45718</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45718</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45718</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45718</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45718</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45718</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45718</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45718</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45718</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45718</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45718</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45718</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45718</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45718</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45718</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45718</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45718</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45718</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45718</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45718</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45718</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45718</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45718</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45718</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45718</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45718</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45718</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45718</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45718</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45718</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45718</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45718</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45718</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45718</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45718</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45718</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45718</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45718</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45718</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45718</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45718</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45718</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45718</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45718</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45718</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45718</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45718</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45718</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45718</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45718</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45718</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45718</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45718</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45718</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45718</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45718</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45718</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45718</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45718</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45718</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45718</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45718</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45718</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45718</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45718</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45718</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45718</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45718</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45718</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45718</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45718</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45718</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45718</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45718</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45718</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45718</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45718</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45718</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45718</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45718</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45718</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45718</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45718</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45718</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45718</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45718</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45718</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45718</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45718</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45718</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45718</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45718</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45718</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45718</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45718</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45718</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45718</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45718</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45718</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45718</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45718</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45718</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45718</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45718</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45718</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45718</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45718</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45718</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45718</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45718</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45718</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45718</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45718</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45718</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45718</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45718</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45718</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45718</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45718</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45718</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45718</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45718</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45718</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45718</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45718</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45718</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45718</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45718</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45718</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45718</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45718</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45718</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45718</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45718</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45718</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45718</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45718</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45718</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45718</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45718</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45718</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45718</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45718</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45718</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45718</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45718</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45718</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45718</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45718</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45718</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45718</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45718</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45718</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45718</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45718</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45718</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45718</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45718</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45718</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45718</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45718</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45718</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45718</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45718</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45718</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45718</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45718</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45718</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45718</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45718</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45718</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45718</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45718</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45718</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45718</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45718</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45718</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45718</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45718</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45718</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45718</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45718</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45718</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45718</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45718</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45718</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45718</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45718</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45718</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45718</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45718</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45718</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45718</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45718</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45718</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45718</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45718</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45718</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45718</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45718</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45718</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45718</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45718</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45718</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45718</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45718</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45718</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45718</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45718</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45718</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45718</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45718</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45718</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45718</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45718</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45718</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45718</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45718</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45718</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45718</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45718</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45718</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45718</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45718</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45718</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45718</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45718</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45718</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45718</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45718</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45718</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45718</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45718</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45718</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45718</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45718</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45718</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45718</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45718</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45718</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45718</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45718</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45718</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45718</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45718</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45718</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45718</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45718</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45718</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45718</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45718</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45718</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45718</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45718</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45718</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45718</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45718</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45718</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45718</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45718</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45718</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45718</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45718</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45718</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45718</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45718</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45718</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45718</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45718</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45718</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45718</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45718</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45718</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45718</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45718</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45718</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45718</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45718</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45718</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45718</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45718</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45718</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45718</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45718</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45718</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45718</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45718</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45718</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45718</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45718</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45718</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45718</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45718</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45718</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45718</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45718</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45718</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45718</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45718</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45718</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45718</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45718</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45718</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45718</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45718</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45718</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45718</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45718</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45718</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45718</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45718</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45718</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45718</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45718</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45718</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45718</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45718</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45718</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45718</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45718</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45718</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45718</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45718</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45718</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45718</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45718</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45718</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45718</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45718</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45718</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45718</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45718</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45718</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45718</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45718</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45718</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45718</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45718</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45718</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45718</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45718</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45718</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45718</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45718</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45718</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45718</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45718</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45718</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45718</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45718</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45718</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45718</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45718</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45718</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45718</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45718</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45718</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45718</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45718</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45718</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45718</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45718</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45718</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45718</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45718</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45718</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45718</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45718</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45718</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45718</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45718</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45718</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45718</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45718</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45718</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45718</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45718</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45718</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45718</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45718</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45718</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45718</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45718</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45718</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45718</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45718</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45718</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45718</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45718</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45718</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45718</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45718</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45718</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45718</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45718</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45718</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45718</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45718</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45718</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45718</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45718</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45718</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45718</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45718</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45718</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45718</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45718</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45718</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45718</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45718</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45718</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45718</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45718</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45718</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45718</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45718</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45718</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45718</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45718</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45718</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45718</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45718</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45718</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45718</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45718</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45718</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45718</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45718</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45718</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45718</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45718</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45718</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45718</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45718</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45718</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45718</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45718</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45718</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45718</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45718</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45718</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45718</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45718</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45718</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45718</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45718</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45718</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45718</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45718</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45718</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45718</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45718</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45718</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45718</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45718</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45718</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45718</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45718</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45718</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45718</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45718</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45718</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45718</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45718</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45718</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45718</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45718</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45718</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45718</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45718</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45718</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45718</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45718</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45718</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45718</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45718</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45718</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45718</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45718</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45718</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45718</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45718</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45718</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45718</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45718</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45718</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45718</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45718</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45718</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45718</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45718</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45718</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45718</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45718</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45718</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45718</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45718</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45718</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45718</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45718</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45718</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45718</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45718</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45718</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45718</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45718</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45718</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45718</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45718</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45718</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45718</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45718</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45718</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45718</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45718</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45718</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45718</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45718</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45718</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45718</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45718</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45718</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45718</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45718</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45718</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45718</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45718</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45718</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45718</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45718</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45718</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45718</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45718</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45718</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45718</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45718</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45718</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45718</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45718</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45718</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45718</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45718</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45718</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45718</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45718</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45718</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45718</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45718</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45718</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45718</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45718</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45718</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45718</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45718</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45718</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45718</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45718</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45718</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45718</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45718</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45718</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45718</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45718</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45718</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45718</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45718</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45718</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45718</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45718</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45718</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45718</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45718</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45718</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45718</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45718</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45718</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45718</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45718</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45718</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45718</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45718</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45718</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45718</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45718</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45718</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45718</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45718</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45718</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45718</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45718</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45718</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45718</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45718</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45718</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45718</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45718</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45718</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45718</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45718</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45718</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45718</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45718</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45718</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45718</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45718</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45718</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45718</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45718</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45718</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45718</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45718</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45718</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45718</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45718</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45718</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45718</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45718</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45718</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45718</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45718</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45718</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45718</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45718</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45718</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45718</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45718</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45718</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45718</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45718</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45718</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45718</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45718</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45718</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45718</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45718</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45718</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45718</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45718</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45718</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45718</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45718</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45718</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45718</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45718</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45718</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45718</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45718</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45718</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45718</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45718</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45718</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45718</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45718</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45718</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45718</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45718</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45718</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45718</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45718</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45718</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45718</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45718</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45718</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45718</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45718</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45718</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45718</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45718</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45718</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45718</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45718</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45718</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45718</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45718</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45718</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45718</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45718</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45718</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45718</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45718</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45718</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45718</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45718</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45718</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45718</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45718</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45718</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45718</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45718</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45718</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45718</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45718</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45718</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45718</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45718</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45718</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45718</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45718</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45718</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45718</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45718</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45718</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45718</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45718</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45718</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45718</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45718</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45718</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45718</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45718</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45718</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45718</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45718</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45718</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45718</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45718</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45718</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45718</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45718</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45718</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45718</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45718</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45718</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45718</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45718</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45718</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45718</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45718</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45718</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45718</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45718</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45718</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45718</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45718</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45718</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45718</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45718</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45718</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45718</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45718</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45718</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45718</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45718</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45718</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45718</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45718</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45718</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45718</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45718</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45718</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45718</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45718</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45718</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45718</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45718</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45718</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45718</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45718</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45718</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45718</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45718</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45718</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45718</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45718</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45718</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45718</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45718</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45718</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45718</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45718</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45718</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45718</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45718</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45718</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45718</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45718</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45718</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45718</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45718</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45718</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45718</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45718</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45718</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45718</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45718</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45718</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45718</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45718</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45718</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45718</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45718</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45718</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45718</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45718</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45718</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45718</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45718</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45718</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45718</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45718</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45718</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45718</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45718</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45718</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45718</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45718</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45718</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45718</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45718</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45718</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45718</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45718</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45718</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45718</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45718</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45718</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45718</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45718</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45718</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45718</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45718</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45718</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45718</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45718</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45718</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45718</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45718</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45718</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45718</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45718</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45718</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45718</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45718</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45718</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45718</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45718</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45718</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45718</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45718</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45718</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45718</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45718</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45718</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45718</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45718</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45718</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45718</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45718</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45718</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45718</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45718</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45718</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45718</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45718</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45718</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45718</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45718</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45718</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45718</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45718</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45718</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45718</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45718</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45718</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45718</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45718</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45718</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45718</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45718</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45718</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45718</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45718</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45718</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45718</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45718</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45718</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45718</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45718</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45718</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45718</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45718</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45718</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45718</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45718</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45718</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45718</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45718</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45718</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45718</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45718</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45718</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45718</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45718</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45718</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45718</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45718</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45718</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45718</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45718</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45718</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45718</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45718</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45718</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45718</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45718</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45718</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45718</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45718</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45718</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45718</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45718</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45718</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45718</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45718</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45718</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45718</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45718</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45718</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45718</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45718</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45718</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45718</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45718</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45718</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45718</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45718</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45718</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45718</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45718</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45718</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45718</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45718</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45718</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45718</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45718</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45718</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45718</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45718</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45718</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45718</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45718</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45718</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45718</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45718</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45718</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45718</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45718</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45718</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45718</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45718</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45718</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45718</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45718</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45718</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45718</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45718</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45718</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45718</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45718</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45718</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45718</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45718</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45718</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45718</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45718</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45718</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45718</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45718</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45718</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45718</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45718</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45718</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45718</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45718</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45718</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45718</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45718</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45718</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45718</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45718</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45718</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45718</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45718</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45718</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45718</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45718</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45718</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45718</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45718</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45718</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45718</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45718</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45718</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45718</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45718</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45718</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45718</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45718</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45718</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45718</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45718</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45718</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45718</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45718</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45718</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45718</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45718</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45718</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45718</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45718</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45718</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45718</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45718</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45718</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45718</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45718</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45718</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45718</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45718</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45718</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45718</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45718</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45718</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45718</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45718</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45718</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45718</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45718</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45718</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45718</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45718</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45718</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45718</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45718</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45718</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45718</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45718</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45718</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45718</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45718</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45718</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45718</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45718</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45718</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45718</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45718</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45718</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45718</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45718</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45718</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45718</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45718</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45718</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45718</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45718</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45718</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45718</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45718</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45718</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45718</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45718</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45718</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45718</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45718</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45718</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45718</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45718</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45718</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45718</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45718</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45718</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45718</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45718</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45718</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45718</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45718</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45718</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45718</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45718</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45718</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45718</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45718</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45718</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45718</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45718</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45718</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45718</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45718</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45718</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45718</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45718</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45718</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45718</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45718</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45718</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45718</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45718</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45718</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45718</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45718</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45718</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45718</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45718</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45718</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45718</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45718</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45718</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45718</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45718</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45718</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45718</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45718</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45718</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45718</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45718</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45718</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45718</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45718</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45718</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45718</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45718</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45718</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45718</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45718</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45718</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45718</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45718</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45718</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45718</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45718</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45718</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45718</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45718</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45718</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45718</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45718</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45718</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45718</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45718</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45718</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45718</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45718</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45718</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45718</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45718</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45718</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45718</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45718</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45718</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45718</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45718</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45718</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45718</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45718</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45718</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45718</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45718</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45718</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45718</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45718</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45718</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45718</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45718</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45718</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45718</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45718</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45718</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45718</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45718</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45718</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45718</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45718</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45718</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45718</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45718</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45718</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45718</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45718</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45718</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45718</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45718</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45718</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45718</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45718</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45718</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45718</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45718</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45718</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45718</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45718</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45718</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45718</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45718</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45718</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45718</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45718</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45718</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45718</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45718</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45718</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45718</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45718</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45718</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45718</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45718</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45718</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45718</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45718</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45718</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45718</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45718</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45718</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45718</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45718</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45718</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45718</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45718</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45718</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45718</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45718</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45718</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45718</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45718</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45718</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45718</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45718</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45718</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45718</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45718</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45718</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45718</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45718</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45718</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45718</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45718</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45718</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45718</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45718</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45718</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45718</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45718</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45718</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45718</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45718</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45718</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45718</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45718</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45718</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45718</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45718</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45718</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45718</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45718</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45718</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45718</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45718</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45718</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45718</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45718</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45718</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45718</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45718</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45718</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45718</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45718</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45718</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45718</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45718</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45718</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45718</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45718</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45718</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45718</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45718</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45718</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45718</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45718</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45718</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45718</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45718</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45718</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45718</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45718</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45718</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45718</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45718</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45718</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45718</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45718</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45718</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45718</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45718</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45718</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45718</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45718</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45718</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45718</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45718</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45718</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45718</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45718</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45718</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45718</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45718</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45718</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45718</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45718</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45718</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45718</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45718</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45718</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45718</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45718</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45718</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45718</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45718</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45718</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45718</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45718</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45718</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45718</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45718</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45718</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45718</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45718</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45718</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45718</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45718</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45718</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45718</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45718</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45718</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45718</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45718</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45718</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45718</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45718</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45718</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45718</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45718</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45718</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45718</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45718</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45718</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45718</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45718</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45718</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45718</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45718</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45718</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45718</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45718</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45718</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45718</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45718</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45718</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45718</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45718</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45718</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45718</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45718</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45718</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45718</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45718</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45718</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45718</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45718</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45718</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45718</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45718</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45718</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45718</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45718</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45718</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45718</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45718</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45718</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45718</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45718</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45718</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45718</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45718</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45718</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45718</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45718</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45718</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45718</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45718</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45718</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45718</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45718</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45718</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45718</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45718</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45718</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45718</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45718</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45718</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45718</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45718</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45718</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45718</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45718</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45718</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45718</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45718</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45718</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45718</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45718</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45718</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45718</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45718</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45718</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45718</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45718</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45718</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45718</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45718</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45718</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45718</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45718</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45718</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45718</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45718</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45718</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45718</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45718</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45718</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45718</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45718</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45718</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45718</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45718</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45718</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45718</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45718</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45718</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45718</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45718</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45718</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45718</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45718</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45718</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45718</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45718</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45718</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45718</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45718</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45718</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45718</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45718</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45718</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45718</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45718</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45718</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45718</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45718</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45718</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45718</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45718</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45718</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45718</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45718</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45718</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45718</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45718</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45718</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45718</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45718</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45718</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45718</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45718</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45718</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45718</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45718</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45718</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45718</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45718</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45718</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45718</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45718</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45718</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45718</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45718</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45718</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45718</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45718</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45718</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45718</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45718</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45718</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45718</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45718</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45718</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45718</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45718</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45718</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45718</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45718</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45718</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45718</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45718</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45718</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45718</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45718</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45718</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45718</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45718</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45718</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45718</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45718</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45718</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45718</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45718</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45718</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45718</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45718</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45718</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45718</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45718</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45718</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45718</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45718</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45718</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45718</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45718</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45718</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45718</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45718</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45718</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45718</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45718</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45718</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45718</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45718</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45718</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45718</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45718</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45718</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45718</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45718</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45718</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45718</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45718</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45718</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45718</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45718</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45718</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45718</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45718</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45718</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45718</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45718</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45718</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45718</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45718</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45718</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45718</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45718</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45718</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45718</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45718</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45718</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45718</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45718</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45718</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45718</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45718</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45718</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45718</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45718</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45718</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45718</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45718</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45718</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45718</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45718</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45718</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45718</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45718</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45718</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45718</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45718</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45718</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45718</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45718</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45718</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45718</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45718</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45718</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45718</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45718</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45718</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45718</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45718</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45718</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45718</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45718</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45718</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45718</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45718</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45718</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45718</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45718</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45718</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45718</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45718</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45718</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45718</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45718</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45718</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45718</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45718</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45718</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45718</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45718</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45718</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45718</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45718</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45718</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45718</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45718</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45718</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45718</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45718</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45718</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45718</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45718</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45718</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45718</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45718</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45718</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45718</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45718</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45718</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45718</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45718</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45718</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45718</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45718</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45718</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45718</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45718</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45718</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45718</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45718</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45718</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45718</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45718</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45718</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45718</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45718</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45718</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45718</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45718</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45718</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45718</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45718</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45718</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45718</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45718</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45718</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45718</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45718</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45718</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45718</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45718</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45718</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45718</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45718</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45718</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45718</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45718</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45718</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45718</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45718</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45718</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45718</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45718</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45718</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45718</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45718</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45718</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45718</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45718</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45718</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45718</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45718</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45718</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45718</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45718</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45718</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45718</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45718</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45718</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45718</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45718</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45718</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45718</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45718</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45718</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45718</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45718</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45718</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45718</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45718</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45718</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45718</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45718</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45718</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45718</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45718</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45718</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45718</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45718</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45718</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45718</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45718</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45718</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45718</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45718</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45718</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45718</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45718</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45718</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45718</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45718</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45718</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45718</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45718</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45718</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45718</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45718</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45718</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45718</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45718</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45718</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45718</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45718</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45718</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45718</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45718</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45718</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45718</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45718</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45718</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45718</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45718</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45718</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45718</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45718</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45718</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45718</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45718</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45718</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45718</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45718</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45718</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45718</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45718</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45718</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45718</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45718</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45718</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45718</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45718</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45718</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45718</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45718</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45718</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45718</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45718</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45718</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45718</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45718</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45718</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45718</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45718</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45718</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45718</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45718</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45718</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45718</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45718</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45718</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45718</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45718</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45718</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45718</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45718</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45718</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45718</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45718</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45718</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45718</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45718</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45718</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45718</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45718</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45718</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45718</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45718</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45718</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45718</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45718</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45718</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45718</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45718</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45718</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45718</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45718</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45718</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45718</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45718</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45718</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45718</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45718</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45718</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45718</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45718</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45718</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45718</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45718</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45718</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45718</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45718</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45718</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45718</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45718</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45718</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45718</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45718</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45718</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45718</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45718</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45718</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45718</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45718</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45718</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45718</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45718</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45718</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45718</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45718</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45718</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45718</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45718</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45718</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45718</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45718</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45718</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45718</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45718</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45718</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45718</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45718</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45718</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45718</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45718</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45718</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45718</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45718</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45718</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45718</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45718</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45718</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45718</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45718</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45718</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45718</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45718</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45718</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45718</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45718</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45718</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45718</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45718</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45718</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45718</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45718</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45718</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45718</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45718</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45718</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45718</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45718</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45718</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45718</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45718</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45718</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45718</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45718</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45718</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45718</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45718</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45718</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45718</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45718</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45718</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45718</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45718</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45718</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45718</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45718</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45718</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45718</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45718</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45718</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45718</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45718</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45718</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45718</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45718</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45718</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45718</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45718</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45718</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45718</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45718</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45718</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45718</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45718</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45718</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45718</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45718</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45718</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45718</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45718</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45718</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45718</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45718</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45718</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45718</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45718</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45718</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45718</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45718</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45718</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45718</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45718</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45718</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45718</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45718</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45718</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45718</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45718</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45718</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45718</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45718</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45718</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45718</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45718</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45718</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45718</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45718</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45718</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45718</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45718</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45718</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45718</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45718</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45718</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45718</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45718</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45718</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45718</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45718</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45718</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45718</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45718</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45718</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45718</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45718</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45718</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45718</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45718</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45718</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45718</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45718</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45718</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45718</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45718</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45718</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45718</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45718</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45718</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45718</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45718</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45718</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45718</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45718</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45718</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45718</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45718</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45718</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45718</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45718</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45718</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45718</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45718</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45718</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45718</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45718</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45718</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45718</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45718</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45718</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45718</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45718</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45718</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45718</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45718</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45718</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45718</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45718</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45718</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45718</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45718</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45718</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45718</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45718</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45718</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45718</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45718</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45718</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45718</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45718</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45718</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45718</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45718</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45718</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45718</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45718</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45718</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45718</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45718</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45718</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45718</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45718</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45718</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45718</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45718</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45718</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45718</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45718</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45718</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45718</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45718</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45718</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45718</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45718</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45718</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45718</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45718</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45718</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45718</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45718</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45718</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45718</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45718</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45718</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45718</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45718</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45718</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45718</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45718</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45718</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45718</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45718</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45718</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45718</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45718</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45718</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45718</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45718</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45718</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45718</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45718</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45718</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45718</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45718</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45718</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45718</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45718</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45718</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45718</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45718</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45718</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45718</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45718</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45718</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45718</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45718</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45718</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45718</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45718</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45718</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45718</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45718</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45718</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45718</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45718</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45718</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45718</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45718</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45718</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45718</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45718</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45718</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45718</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45718</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45718</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45718</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45718</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45718</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45718</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45718</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45718</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45718</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45718</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45718</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45718</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45718</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45718</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45718</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45718</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45718</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45718</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45718</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45718</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45718</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45718</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45718</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45718</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45718</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45718</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45718</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45718</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45718</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45718</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45718</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45718</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45718</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45718</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45718</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45718</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45718</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45718</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45718</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45718</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45718</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45718</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45718</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45718</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45718</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45718</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45718</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45718</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45718</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45718</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45718</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45718</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45718</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45718</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45718</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45718</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45718</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45718</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45718</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45718</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45718</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45718</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45718</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45718</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45718</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45718</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45718</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45718</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45718</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45718</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45718</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45718</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45718</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45718</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45718</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45718</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45718</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45718</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45718</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45718</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45718</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45718</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45718</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45718</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45718</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45718</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45718</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45718</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45718</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45718</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45718</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45718</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45718</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45718</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45718</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45718</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45718</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45718</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45718</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45718</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45718</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45718</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45718</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45718</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45718</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45718</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45718</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45718</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45718</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45718</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45718</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45718</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45718</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45718</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45718</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45718</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45718</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45718</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45718</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45718</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45718</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45718</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45718</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45718</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45718</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45718</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45718</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45718</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45718</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45718</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45718</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45718</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45718</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45718</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45718</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45718</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45718</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45718</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45718</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45718</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45718</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45718</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45718</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45718</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45718</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45718</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45718</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45718</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45718</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45718</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45718</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45718</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45718</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45718</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45718</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45718</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45718</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45718</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45718</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45718</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45718</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45718</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45718</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45718</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45718</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45718</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45718</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45718</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45718</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45718</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45718</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45718</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45718</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45718</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45718</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45718</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45718</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45718</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45718</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45718</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45718</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45718</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45718</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45718</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45718</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45718</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45718</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45718</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45718</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45718</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45718</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45718</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45718</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45718</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45718</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45718</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45718</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45718</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45718</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45718</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45718</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45718</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45718</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45718</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45718</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45718</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45718</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45718</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45718</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45718</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45718</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45718</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45718</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45718</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45718</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45718</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45718</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45718</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45718</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45718</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45718</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45718</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45718</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45718</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45718</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45718</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45718</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45718</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45718</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45718</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45718</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45718</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45718</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45718</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45718</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45718</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45718</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45718</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45718</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45718</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45718</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45718</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45718</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45718</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45718</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45718</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45718</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45718</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45718</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45718</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45718</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45718</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45718</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45718</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45718</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45718</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45718</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45718</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45718</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45718</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45718</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45718</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45718</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45718</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45718</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45718</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45718</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45718</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45718</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45718</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45718</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45718</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45718</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45718</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45718</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45718</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45718</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45718</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45718</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45718</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45718</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45718</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45718</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45718</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45718</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45718</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45718</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45718</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45718</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45718</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45718</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45718</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45718</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45718</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45718</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45718</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45718</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45718</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45718</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45718</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45718</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45718</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45718</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45718</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45718</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45718</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45718</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45718</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45718</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45718</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45718</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45718</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45718</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45718</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45718</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45718</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45718</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45718</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45718</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45718</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45718</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45718</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45718</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45718</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45718</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45718</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45718</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45718</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45718</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45718</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45718</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45718</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45718</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45718</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45718</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45718</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45718</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45718</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45718</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45718</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45718</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45718</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45718</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45718</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45718</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45718</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45718</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45718</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45718</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45718</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45718</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45718</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45718</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45718</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45718</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45718</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45718</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45718</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45718</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45718</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45718</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45718</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45718</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45718</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45718</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45718</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45718</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45718</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45718</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45718</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45718</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45718</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45718</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45718</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45718</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45718</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45718</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45718</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45718</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45718</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45718</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45718</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45718</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45718</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45718</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45718</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45718</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45718</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45718</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45718</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45718</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45718</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45718</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45718</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45718</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45718</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45718</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45718</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45718</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45718</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45718</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45718</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45718</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45718</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45718</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45718</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45718</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45718</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45718</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45718</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45718</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45718</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45718</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45718</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45718</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45718</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45718</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45718</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45718</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45718</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45718</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45718</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45718</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45718</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45718</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45718</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45718</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45718</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45718</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45718</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45718</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45718</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45718</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45718</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45718</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45718</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45718</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45718</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45718</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45718</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45718</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45718</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45718</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45718</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45718</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45718</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45718</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45718</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45718</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45718</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45718</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45718</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45718</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45718</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45718</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45718</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45718</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45718</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45718</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45718</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45718</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45718</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45718</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45718</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45718</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45718</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45718</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45718</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45718</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45718</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45718</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45718</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45718</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45718</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45718</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45718</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45718</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45718</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45718</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45718</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45718</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45718</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45718</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45718</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45718</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45718</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45718</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45718</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45718</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45718</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45718</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45718</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45718</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45718</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45718</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45718</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45718</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45718</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45718</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45718</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45718</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45718</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45718</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45718</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45718</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45718</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45718</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45718</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45718</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45718</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45718</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45718</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45718</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45718</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45718</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45718</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45718</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45718</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45718</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45718</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45718</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45718</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45718</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45718</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45718</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45718</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45718</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45718</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45718</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45718</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45718</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45718</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45718</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45718</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45718</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45718</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45718</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45718</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45718</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45718</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45718</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45718</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45718</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45718</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45718</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45718</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45718</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45718</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45718</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45718</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45718</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45718</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45718</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45718</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45718</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45718</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45718</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45718</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45718</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45718</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45718</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45718</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45718</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45718</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45718</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45718</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45718</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45718</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45718</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45718</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45718</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45718</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45718</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45718</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45718</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45718</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45718</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45718</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45718</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45718</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45718</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45718</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45718</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45718</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45718</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45718</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45718</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45718</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45718</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45718</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45718</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45718</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45718</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45718</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45718</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45718</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45718</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45718</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45718</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45718</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45718</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45718</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45718</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45718</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45718</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45718</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45718</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45718</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45718</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45718</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45718</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45718</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45718</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45718</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45718</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45718</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45718</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45718</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45718</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45718</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45718</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45718</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45718</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45718</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45718</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45718</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45718</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45718</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45718</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45718</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45718</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45718</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45718</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45718</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45718</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45718</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45718</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45718</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45718</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45718</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45718</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45718</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45718</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45718</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45718</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45718</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45718</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45718</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45718</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45718</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45718</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45718</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45718</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45718</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45718</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45718</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45718</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45718</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45718</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45718</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45718</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45718</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45718</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45718</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45718</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45718</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45718</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45718</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45718</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45718</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45718</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45718</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45718</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45718</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45718</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45718</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45718</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45718</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45718</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45718</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45718</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45718</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45718</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45718</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45718</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45718</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45718</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45718</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45718</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45718</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45718</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45718</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45718</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45718</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45718</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45718</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45718</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45718</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45718</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45718</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45718</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45718</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45718</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45718</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45718</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45718</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45718</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45718</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45718</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45718</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45718</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45718</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45718</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45718</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45718</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45718</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45718</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45718</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45718</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45718</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45718</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45718</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45718</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45718</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45718</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45718</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45718</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45718</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45718</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45718</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45718</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45718</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45718</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45718</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45718</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45718</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45718</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45718</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45718</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45718</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45718</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45718</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45718</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45718</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45718</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45718</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45718</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45718</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45718</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45718</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45718</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45718</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45718</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45718</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45718</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45718</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45718</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45718</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45718</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45718</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45718</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45718</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45718</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45718</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45718</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45718</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45718</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45718</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45718</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45718</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45718</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45718</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45718</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45718</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45718</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45718</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45718</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45718</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45718</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45718</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45718</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45718</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45718</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45718</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45718</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45718</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45718</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45718</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45718</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45718</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45718</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45718</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45718</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45718</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45718</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45718</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45718</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45718</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45718</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45718</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45718</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45718</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45718</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45718</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45718</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45718</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45718</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45718</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45718</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45718</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45718</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45718</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45718</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45718</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45718</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45718</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45718</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45718</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45718</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45718</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45718</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45718</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45718</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45718</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45718</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45718</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45718</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45718</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45718</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45718</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45718</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45718</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45718</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45718</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45718</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45718</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45718</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45718</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45718</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45718</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45718</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45718</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45718</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45718</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45718</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45718</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45718</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45718</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45718</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45718</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45718</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45718</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45718</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45718</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45718</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45718</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45718</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45718</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45718</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45718</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45718</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45718</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45718</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45718</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45718</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45718</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45718</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45718</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45718</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45718</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45718</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45718</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45718</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45718</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45718</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45718</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45718</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45718</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45718</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45718</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45718</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45718</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45718</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45718</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45718</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45718</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45718</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45718</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45718</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45718</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45718</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45718</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45718</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45718</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45718</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45718</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45718</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45718</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45718</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45718</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45718</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45718</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45718</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45718</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45718</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45718</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45718</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45718</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45718</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45718</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45718</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45718</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45718</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45718</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45718</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45718</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45718</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45718</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45718</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45718</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45718</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45718</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45718</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45718</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45718</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45718</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45718</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45718</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45718</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45718</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45718</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45718</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45718</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45718</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45718</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45718</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45718</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45718</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45718</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45718</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45718</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45718</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45718</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45718</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45718</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45718</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45718</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45718</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45718</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45718</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45718</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45718</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45718</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45718</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45718</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45718</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45718</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45718</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45718</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45718</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45718</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45718</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45718</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45718</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45718</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45718</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45718</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45718</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45718</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45718</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45718</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45718</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45718</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45718</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45718</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45718</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45718</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45718</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45718</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45718</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45718</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45718</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45718</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45718</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45718</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45718</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45718</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45718</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45718</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45718</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45718</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45718</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45718</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45718</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45718</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45718</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45718</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45718</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45718</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45718</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45718</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45718</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45718</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45718</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45718</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45718</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45718</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45718</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45718</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45718</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45718</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45718</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45718</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45718</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45718</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45718</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45718</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45718</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45718</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45718</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45718</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45718</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45718</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45718</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45718</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45718</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45718</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45718</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45718</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45718</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45718</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45718</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45718</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45718</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45718</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45718</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45718</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45718</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45718</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45718</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45718</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45718</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45718</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45718</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45718</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45718</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45718</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45718</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45718</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45718</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45718</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45718</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45718</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45718</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45718</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45718</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45718</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45718</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45718</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45718</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45718</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45718</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45718</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45718</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45718</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45718</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45718</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45718</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45718</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45718</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45718</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45718</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45718</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45718</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45718</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45718</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45718</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45718</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45718</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45718</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45718</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45718</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45718</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45718</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45718</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45718</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45718</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45718</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45718</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45718</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45718</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45718</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45718</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45718</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45718</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45718</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45718</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45718</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45718</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45718</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45718</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45718</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45718</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45718</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45718</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45718</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45718</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45718</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45718</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45718</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45718</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45718</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45718</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45718</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45718</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45718</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45718</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45718</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45718</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45718</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45718</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45718</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45718</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45718</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45718</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45718</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45718</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45718</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45718</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45718</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45718</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45718</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45718</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45718</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45718</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45718</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45718</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45718</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45718</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45718</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45718</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45718</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45718</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45718</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45718</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45718</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45718</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45718</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45718</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45718</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45718</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45718</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45718</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45718</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45718</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45718</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45718</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45718</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45718</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45718</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45718</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45718</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45718</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45718</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45718</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45718</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45718</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45718</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45718</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45718</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45718</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45718</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45718</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45718</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45718</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45718</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45718</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45718</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45718</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45718</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45718</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45718</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45718</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45718</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45718</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45718</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45718</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45718</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45718</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45718</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45718</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45718</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45718</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45718</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45718</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45718</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45718</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45718</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45718</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45718</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45718</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45718</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45718</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45718</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45718</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45718</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45718</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45718</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45718</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45718</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45718</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45718</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45718</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45718</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45718</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45718</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45718</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45718</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45718</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45718</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45718</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45718</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45718</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45718</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45718</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45718</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45718</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45718</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45718</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45718</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45718</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45718</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45718</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45718</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45718</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45718</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45718</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45718</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45718</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45718</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45718</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45718</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45718</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45718</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45718</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45718</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45718</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45718</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45718</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45718</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45718</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45718</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45718</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45718</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45718</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45718</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45718</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45718</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45718</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45718</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45718</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45718</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45718</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45718</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45718</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45718</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45718</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45718</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45718</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45718</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45718</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45718</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45718</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45718</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45718</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45718</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45718</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45718</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45718</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45718</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45718</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45718</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45718</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45718</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45718</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45718</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45718</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45718</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45718</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45718</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45718</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45718</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45718</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45718</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45718</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45718</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45718</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45718</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45718</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45718</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45718</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45718</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45718</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45718</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45718</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45718</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45718</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45718</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45718</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45718</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45718</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45718</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45718</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45718</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45718</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45718</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45718</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45718</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45718</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45718</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45718</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45718</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45718</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45718</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45718</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45718</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45718</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45718</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45718</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45718</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45718</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45718</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45718</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45718</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45718</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45718</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45718</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45718</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45718</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45718</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45718</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45718</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45718</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45718</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45718</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45718</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45718</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45718</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45718</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45718</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45718</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45718</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45718</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45718</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45718</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45718</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45718</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45718</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45718</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45718</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45718</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45718</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45718</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45718</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45718</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45718</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45718</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45718</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45718</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45718</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45718</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45718</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45718</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45718</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45718</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45718</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45718</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45718</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45718</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45718</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45718</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45718</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45718</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45718</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45718</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45718</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45718</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45718</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45718</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45718</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45718</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45718</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45718</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45718</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45718</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45718</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45718</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45718</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45718</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45718</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45718</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45718</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45718</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45718</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45718</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45718</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45718</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45718</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45718</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45718</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45718</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45718</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45718</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45718</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45718</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45718</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45718</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45718</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45718</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45718</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45718</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45718</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45718</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45718</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45718</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45718</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45718</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45718</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45718</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45718</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45718</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45718</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45718</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45718</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45718</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45718</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45718</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45718</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45718</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45718</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45718</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45718</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45718</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45718</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45718</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45718</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45718</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45718</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45718</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45718</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45718</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45718</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45718</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45718</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45718</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45718</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45718</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45718</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45718</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45718</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45718</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45718</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45718</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45718</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45718</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45718</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45718</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45718</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45718</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45718</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45718</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45718</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45718</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45718</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45718</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45718</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45718</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45718</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45718</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45718</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45718</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45718</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45718</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45718</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45718</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45718</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45718</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45718</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45718</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45718</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45718</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45718</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45718</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45718</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45718</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45718</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45718</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45718</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45718</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45718</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45718</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45718</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45718</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45718</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45718</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45718</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45718</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45718</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45718</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45718</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45718</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45718</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45718</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45718</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45718</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45718</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45718</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45718</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45718</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45718</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45718</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45718</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45718</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45718</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45718</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45718</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45718</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45718</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45718</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45718</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45718</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45718</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45718</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45718</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45718</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45718</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45718</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45718</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45718</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45718</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45718</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45718</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45718</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45718</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45718</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45718</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45718</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45718</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45718</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45718</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45718</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45718</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45718</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45718</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45718</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45718</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45718</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45718</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45718</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45718</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45718</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45718</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45718</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45718</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45718</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45718</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45718</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45718</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45718</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45718</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45718</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45718</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45718</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45718</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45718</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45718</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45718</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45718</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45718</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45718</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45718</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45718</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45718</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45718</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45718</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45718</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45718</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45718</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45718</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45718</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45718</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45718</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45718</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45718</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45718</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45718</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45718</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45718</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45718</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45718</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45718</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45718</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45718</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45718</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45718</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45718</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45718</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45718</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45718</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45718</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45718</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45718</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45718</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45718</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45718</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45718</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45718</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45718</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45718</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45718</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45718</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45718</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45718</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45718</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45718</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45718</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45718</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45718</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45718</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45718</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45718</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45718</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45718</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45718</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45718</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45718</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45718</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45718</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45718</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45718</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45718</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45718</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45718</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45718</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45718</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45718</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45718</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45718</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45718</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45718</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45718</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45718</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45718</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45718</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45718</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45718</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45718</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45718</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45718</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45718</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45718</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45718</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45718</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45718</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45718</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45718</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45718</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45718</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45718</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45718</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45718</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45718</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45718</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45718</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45718</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45718</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45718</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45718</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45718</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45718</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45718</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45718</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45718</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45718</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45718</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45718</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45718</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45718</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45718</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45718</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45718</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45718</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45718</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45718</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45718</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45718</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45718</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45718</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45718</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45718</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45718</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45718</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45718</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45718</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45718</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45718</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45718</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45718</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45718</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45718</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45718</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45718</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45718</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45718</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45718</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45718</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45718</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45718</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45718</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45718</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45718</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45718</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45718</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45718</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45718</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45718</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45718</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45718</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45718</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45718</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45718</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45718</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45718</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45718</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45718</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45718</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45718</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45718</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45718</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45718</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45718</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45718</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45718</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45718</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45718</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45718</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45718</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45718</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45718</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45718</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45718</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45718</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45718</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45718</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45718</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45718</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45718</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45718</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45718</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45718</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45718</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45718</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45718</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45718</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45718</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45718</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45718</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45718</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45718</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45718</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45718</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45718</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45718</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45718</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45718</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45718</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45718</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45718</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45718</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45718</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45718</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45718</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45718</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45718</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45718</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45718</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45718</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45718</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45718</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45718</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45718</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45718</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45718</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45718</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45718</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45718</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45718</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45718</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45718</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45718</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45718</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45718</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45718</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45718</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45718</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45718</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45718</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45718</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45718</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45718</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45718</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45718</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45718</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45718</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45718</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45718</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45718</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45718</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45718</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45718</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45718</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45718</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45718</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45718</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45718</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45718</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45718</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45718</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45718</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45718</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45718</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45718</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45718</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45718</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45718</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45718</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45718</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45718</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45718</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45718</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45718</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45718</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45718</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45718</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45718</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45718</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45718</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45718</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45718</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45718</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45718</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45718</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45718</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45718</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45718</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45718</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45718</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45718</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45718</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45718</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45718</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45718</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45718</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45718</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45718</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45718</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45718</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45718</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45718</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45718</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45718</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45718</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45718</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45718</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45718</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45718</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45718</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45718</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45718</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45718</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45718</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45718</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45718</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45718</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45718</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45718</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45718</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45718</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45718</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45718</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45718</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45718</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45718</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45718</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45718</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45718</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45718</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45718</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45718</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45718</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45718</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45718</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45718</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45718</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45718</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45718</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45718</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45718</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45718</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45718</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45718</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45718</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45718</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45718</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45718</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45718</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45718</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45718</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45718</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45718</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45718</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45718</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45718</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45718</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45718</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45718</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45718</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45718</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45718</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45718</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45718</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45718</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45718</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45718</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45718</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45718</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45718</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45718</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45718</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45718</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45718</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45718</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45718</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45718</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45718</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45718</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45718</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45718</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45718</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45718</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45718</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45718</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45718</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45718</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45718</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45718</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45718</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45718</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45718</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45718</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45718</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45718</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45718</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45718</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45718</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45718</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45718</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45718</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45718</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45718</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45718</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45718</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45718</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45718</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45718</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45718</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45718</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45718</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45718</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45718</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45718</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45718</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45718</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45718</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45718</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45718</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45718</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45718</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45718</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45718</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45718</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45718</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45718</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45718</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45718</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45718</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45718</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45718</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45718</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45718</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45718</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45718</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45718</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45718</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45718</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45718</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45718</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45718</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45718</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45718</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45718</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45718</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45718</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45718</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45718</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45718</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45718</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45718</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45718</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45718</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45718</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45718</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45718</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45718</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45718</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45718</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45718</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45718</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45718</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45718</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45718</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45718</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45718</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45718</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45718</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45718</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45718</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45718</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45718</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45718</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45718</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45718</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45718</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45718</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45718</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45718</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45718</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45718</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45718</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45718</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45718</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45718</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45718</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45718</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45718</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45718</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45718</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45718</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45718</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45718</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45718</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45718</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45718</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45718</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45718</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45718</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45718</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45718</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45718</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45718</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45718</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45718</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45718</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45718</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45718</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45718</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45718</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45718</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45718</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45718</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45718</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45718</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45718</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45718</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45718</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45718</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45718</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45718</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45718</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45718</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45718</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45718</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45718</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45718</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45718</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45718</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45718</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45718</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45718</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45718</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45718</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45718</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45718</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45718</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45718</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45718</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45718</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45718</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45718</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45718</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45718</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45718</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45718</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45718</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45718</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45718</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45718</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45718</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45718</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45718</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45718</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45718</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45718</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45718</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45718</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45718</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45718</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45718</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45718</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45718</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45718</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45718</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45718</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45718</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45718</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45718</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45718</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45718</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45718</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45718</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45718</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45718</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45718</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45718</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45718</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45718</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45718</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45718</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45718</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45718</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45718</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45718</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45718</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45718</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45718</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45718</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45718</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45718</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45718</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45718</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45718</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45718</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45718</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45718</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45718</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45718</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45718</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45718</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45718</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45718</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45718</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45718</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45718</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45718</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45718</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45718</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45718</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45718</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45718</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45718</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45718</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45718</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45718</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45718</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45718</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45718</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45718</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45718</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45718</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45718</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45718</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45718</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45718</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45718</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45718</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45718</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45718</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45718</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45718</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45718</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45718</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45718</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45718</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45718</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45718</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45718</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45718</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45718</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45718</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45718</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45718</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45718</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45718</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45718</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45718</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45718</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45718</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45718</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45718</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45718</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45718</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45718</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45718</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45718</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45718</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45718</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45718</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45718</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45718</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45718</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45718</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45718</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45718</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45718</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45718</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45718</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45718</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45718</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45718</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45718</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45718</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45718</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45718</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45718</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45718</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45718</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45718</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45718</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45718</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45718</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45718</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45718</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45718</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45718</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45718</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45718</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45718</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45718</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45718</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45718</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45718</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45718</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45718</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45718</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45718</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45718</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45718</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45718</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45718</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45718</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45718</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45718</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45718</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45718</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45718</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45718</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45718</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45718</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45718</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45718</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45718</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45718</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45718</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45718</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45718</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45718</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45718</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45718</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45718</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45718</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45718</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45718</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45718</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45718</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45718</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45718</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45718</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45718</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45718</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45718</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45718</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45718</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45718</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45718</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45718</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45718</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45718</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45718</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45718</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45718</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45718</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45718</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45718</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45718</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45718</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45718</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45718</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45718</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45718</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45718</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45718</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45718</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45718</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45718</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45718</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45718</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45718</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45718</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45718</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45718</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45718</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45718</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45718</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45718</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45718</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45718</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45718</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45718</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45718</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45718</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45718</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45718</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45718</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45718</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45718</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45718</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45718</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45718</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45718</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45718</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45718</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45718</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45718</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45718</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45718</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45718</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45718</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45718</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45718</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45718</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45718</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45718</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45718</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45718</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45718</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45718</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45718</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45718</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45718</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45718</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45718</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45718</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45718</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45718</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45718</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45718</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45718</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45718</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45718</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45718</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45718</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45718</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45718</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45718</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45718</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45718</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45718</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45718</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45718</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45718</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45718</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45718</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45718</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45718</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45718</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45718</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45718</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45718</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45718</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45718</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45718</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45718</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45718</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45718</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45718</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45718</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45718</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45718</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45718</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45718</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45718</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45718</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45718</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45718</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45718</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45718</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45718</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45718</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45718</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45718</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45718</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45718</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45718</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45718</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45718</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45718</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45718</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45718</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45718</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45718</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45718</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45718</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45718</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45718</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45718</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45718</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45718</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45718</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45718</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45718</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45718</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45718</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45718</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45718</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45718</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45718</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45718</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45718</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45718</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45718</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45718</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45718</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45718</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45718</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45718</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45718</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45718</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45718</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45718</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45718</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45718</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45718</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45718</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45718</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45718</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45718</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45718</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45718</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45718</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45718</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45718</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45718</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45718</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45718</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45718</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45718</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45718</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45718</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45718</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45718</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45718</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45718</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45718</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45718</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45718</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45718</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45718</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45718</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45718</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45718</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45718</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45718</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45718</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45718</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45718</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45718</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45718</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45718</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45718</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45718</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45718</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45718</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45718</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45718</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45718</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45718</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45718</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45718</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45718</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45718</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45718</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45718</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45718</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45718</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45718</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45718</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45718</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45718</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45718</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45718</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45718</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45718</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45718</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45718</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45718</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45718</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45718</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45718</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45718</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45718</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45718</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45718</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45718</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45718</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45718</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45718</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45718</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45718</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45718</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45718</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45718</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45718</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45718</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45718</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45718</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45718</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45718</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45718</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45718</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45718</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45718</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45718</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45718</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45718</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45718</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45718</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45718</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45718</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45718</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45718</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45718</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45718</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45718</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45718</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45718</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45718</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45718</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45718</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45718</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45718</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45718</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45718</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45718</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45718</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45718</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45718</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45718</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45718</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45718</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45718</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45718</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45718</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45718</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45718</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45718</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45718</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45718</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45718</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45718</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45718</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45718</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45718</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45718</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45718</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45718</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45718</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45718</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45718</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45718</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45718</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45718</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45718</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45718</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45718</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45718</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45718</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45718</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45718</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45718</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45718</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45718</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45718</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45718</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45718</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45718</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45718</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45718</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45718</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45718</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45718</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45718</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45718</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45718</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45718</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45718</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45718</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45718</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45718</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45718</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45718</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45718</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45718</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45718</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45718</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45718</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45718</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45718</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45718</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45718</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45718</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45718</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45718</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45718</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45718</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45718</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45718</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45718</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45718</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45718</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45718</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45718</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45718</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45718</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45718</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45718</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45718</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45718</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45718</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45718</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45718</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45718</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45718</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45718</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45718</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45718</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45718</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45718</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45718</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45718</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45718</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45718</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45718</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45718</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45718</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45718</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45718</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45718</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45718</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45718</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45718</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45718</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45718</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45718</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45718</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45718</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45718</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45718</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45718</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45718</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45718</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45718</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45718</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45718</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45718</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45718</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45718</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45718</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45718</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45718</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45718</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45718</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45718</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45718</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45718</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45718</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45718</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45718</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45718</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45718</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45718</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45718</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45718</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45718</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45718</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45718</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45718</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45718</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45718</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45718</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45718</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45718</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45718</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45718</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45718</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45718</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45718</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45718</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45718</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45718</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45718</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45718</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45718</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45718</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45718</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45718</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45718</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45718</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45718</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45718</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45718</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45718</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45718</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45718</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45718</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45718</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45718</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45718</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45718</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45718</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45718</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45718</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45718</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45718</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45718</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45718</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45718</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45718</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45718</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45718</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45718</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45718</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45718</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45718</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45718</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45718</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45718</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45718</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45718</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45718</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45718</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45718</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45718</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45718</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45718</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45718</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45718</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45718</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45718</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45718</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45718</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45718</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45718</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45718</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45718</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45718</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45718</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45718</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45718</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45718</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45718</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45718</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45718</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45718</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45718</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45718</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45718</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45718</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45718</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45718</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45718</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45718</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45718</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45718</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45718</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45718</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45718</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45718</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45718</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45718</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45718</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45718</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45718</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45718</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45718</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45718</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45718</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45718</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45718</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45718</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45718</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45718</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45718</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45718</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45718</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45718</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45718</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45718</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45718</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45718</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45718</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45718</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45718</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45718</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45718</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45718</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45718</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45718</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45718</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45718</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45718</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45718</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45718</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45718</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45718</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45718</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45718</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45718</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45718</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45718</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45718</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45718</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45718</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45718</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45718</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45718</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45718</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45718</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45718</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45718</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45718</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45718</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45718</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45718</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45718</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45718</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45718</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45718</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45718</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45718</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45718</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45718</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45718</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45718</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45718</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45718</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45718</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45718</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45718</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45718</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45718</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45718</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45718</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45718</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45718</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45718</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45718</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45718</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45718</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45718</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45718</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45718</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45718</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45718</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45718</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45718</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45718</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45718</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45718</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45718</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45718</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45718</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45718</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45718</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45718</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45718</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45718</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45718</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45718</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45718</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45718</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45718</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45718</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45718</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45718</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45718</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45718</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45718</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45718</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45718</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45718</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45718</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45718</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45718</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45718</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45718</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45718</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45718</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45718</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45718</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45718</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45718</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45718</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45718</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45718</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45718</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45718</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45718</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45718</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45718</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45718</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45718</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45718</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45718</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45718</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45718</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45718</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45718</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45718</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45718</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45718</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45718</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45718</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45718</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45718</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45718</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45718</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45718</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45718</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45718</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45718</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45718</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45718</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45718</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45718</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45718</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45718</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45718</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45718</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45718</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45718</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45718</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45718</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45718</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45718</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45718</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45718</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45718</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45718</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45718</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45718</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45718</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45718</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45718</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45718</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45718</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45718</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45718</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45718</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45718</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45718</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45718</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45718</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45718</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45718</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45718</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45718</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45718</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45718</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45718</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45718</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45718</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45718</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45718</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45718</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45718</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45718</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45718</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45718</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45718</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45718</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45718</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45718</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45718</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45718</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45718</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45718</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45718</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45718</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45718</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45718</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45718</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45718</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45718</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45718</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45718</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45718</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45718</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45718</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45718</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45718</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45718</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45718</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45718</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45718</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45718</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45718</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45718</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45718</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45718</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45718</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45718</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45718</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45718</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45718</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45718</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45718</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45718</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45718</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45718</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45718</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45718</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45718</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45718</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45718</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45718</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45718</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45718</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45718</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45718</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45718</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45718</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45718</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45718</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45718</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45718</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45718</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45718</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45718</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45718</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45718</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45718</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45718</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45718</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45718</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45718</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45718</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45718</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45718</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45718</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45718</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45718</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45718</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45718</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45718</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45718</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45718</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45718</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45718</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45718</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45718</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45718</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45718</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45718</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45718</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45718</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45718</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45718</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45718</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45718</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45718</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45718</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45718</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45718</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45718</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45718</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45718</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45718</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45718</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45718</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45718</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45718</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45718</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45718</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45718</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45718</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45718</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45718</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45718</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45718</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45718</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45718</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45718</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45718</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45718</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45718</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45718</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45718</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45718</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45718</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45718</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45718</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45718</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45718</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45718</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45718</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45718</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45718</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45718</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45718</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45718</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45718</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45718</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45718</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45718</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45718</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45718</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45718</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45718</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45718</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45718</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45718</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45718</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45718</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45718</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45718</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45718</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45718</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45718</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45718</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45718</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45718</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45718</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45718</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45718</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45718</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45718</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45718</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45718</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45718</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45718</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45718</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45718</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45718</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45718</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45718</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45718</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45718</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45718</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45718</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45718</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45718</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45718</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45718</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45718</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45718</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45718</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45718</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45718</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45718</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45718</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45718</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45718</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45718</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45718</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45718</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45718</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45718</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45718</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45718</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45718</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45718</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45718</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45718</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45718</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45718</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45718</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45718</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45718</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45718</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45718</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45718</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45718</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45718</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45718</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45718</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45718</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45718</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45718</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45718</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45718</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45718</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45718</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45718</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45718</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45718</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45718</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45718</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45718</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45718</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45718</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45718</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45718</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45718</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45718</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45718</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45718</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45718</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45718</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45718</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45718</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45718</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45718</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45718</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45718</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45718</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45718</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45718</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45718</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45718</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45718</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45718</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45718</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45718</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45718</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45718</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45718</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45718</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45718</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45718</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45718</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45718</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45718</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45718</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45718</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45718</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45718</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45718</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45718</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45718</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45718</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45718</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45718</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45718</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45718</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45718</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45718</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45718</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45718</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45718</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45718</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45718</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45718</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45718</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45718</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45718</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45718</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45718</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45718</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45718</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45718</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45718</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45718</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45718</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45718</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45718</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45718</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45718</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45718</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45718</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45718</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45718</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45718</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45718</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45718</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45718</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45718</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45718</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45718</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45718</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45718</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45718</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45718</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45718</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45718</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45718</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45718</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45718</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45718</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45718</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45718</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45718</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45718</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45718</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45718</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45718</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45718</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45718</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45718</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45718</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45718</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45718</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45718</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45718</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45718</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45718</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45718</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45718</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45718</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45718</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45718</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45718</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45718</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45718</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45718</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45718</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45718</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45718</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45718</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45718</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45718</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45718</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45718</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45718</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45718</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45718</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45718</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45718</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45718</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45718</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45718</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45718</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45718</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45718</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45718</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45718</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45718</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45718</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45718</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45718</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45718</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45718</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45718</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45718</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45718</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45718</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45718</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45718</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45718</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45718</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45718</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45718</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45718</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45718</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45718</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45718</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45718</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45718</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45718</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45718</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45718</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45718</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45718</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45718</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45718</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45718</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45718</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45718</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45718</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45718</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45718</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45718</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45718</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45718</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45718</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45718</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45718</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45718</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45718</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45718</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45718</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45718</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45718</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45718</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45718</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45718</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45718</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45718</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45718</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45718</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45718</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45718</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45718</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45718</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45718</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45718</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45718</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45718</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45718</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45718</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45718</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45718</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45718</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45718</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45718</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45718</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45718</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45718</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45718</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45718</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45718</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45718</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45718</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45718</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45718</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45718</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45718</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45718</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45718</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45718</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45718</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45718</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45718</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45718</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45718</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45718</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45718</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45718</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45718</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45718</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45718</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45718</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45718</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45718</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45718</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45718</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45718</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45718</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45718</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45718</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45718</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45718</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45718</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45718</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45718</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45718</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45718</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45718</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45718</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45718</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45718</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45718</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45718</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45718</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45718</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45718</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45718</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45718</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45718</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45718</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45718</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45718</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45718</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45718</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45718</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45718</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45718</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45718</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45718</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45718</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45718</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45718</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45718</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45718</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45718</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45718</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45718</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45718</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45718</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45718</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45718</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45718</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45718</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45718</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45718</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45718</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45718</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45718</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45718</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45718</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45718</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45718</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45718</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45718</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45718</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45718</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45718</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45718</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45718</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45718</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45718</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45718</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45718</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45718</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45718</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45718</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45718</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45718</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45718</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45718</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45718</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45718</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45718</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45718</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45718</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45718</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45718</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45718</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45718</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45718</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45718</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45718</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45718</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45718</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45718</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45718</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45718</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45718</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45718</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45718</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45718</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45718</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45718</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45718</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45718</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45718</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45718</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45718</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45718</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45718</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45718</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45718</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45718</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45718</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45718</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45718</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45718</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45718</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45718</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45718</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45718</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45718</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45718</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45718</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45718</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45718</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45718</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45718</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45718</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45718</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45718</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45718</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45718</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45718</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45718</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45718</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45718</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45718</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45718</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45718</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45718</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45718</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45718</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45718</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45718</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45718</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45718</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45718</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45718</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45718</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45718</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45718</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45718</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45718</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45718</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45718</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45718</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45718</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45718</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45718</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45718</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45718</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45718</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45718</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45718</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45718</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45718</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45718</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45718</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45718</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45718</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45718</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45718</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45718</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45718</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45718</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45718</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45718</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45718</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45718</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45718</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45718</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45718</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45718</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45718</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45718</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45718</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45718</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45718</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45718</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45718</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45718</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45718</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45718</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45718</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45718</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45718</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45718</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45718</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45718</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45718</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45718</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45718</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45718</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45718</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45718</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45718</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45718</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45718</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45718</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45718</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45718</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45718</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45718</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45718</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45718</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45718</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45718</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45718</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45718</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45718</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45718</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45718</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45718</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45718</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45718</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45718</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45718</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45718</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45718</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45718</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45718</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45718</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45718</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45718</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45718</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45718</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45718</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45718</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45718</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45718</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45718</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45718</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45718</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45718</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45718</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45718</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45718</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45718</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45718</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45718</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45718</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45718</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45718</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45718</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45718</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45718</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45718</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45718</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45718</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45718</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45718</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45718</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45718</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45718</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45718</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45718</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45718</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45718</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45718</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45718</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45718</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45718</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45718</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45718</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45718</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45718</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45718</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45718</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45718</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45718</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45718</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45718</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45718</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45718</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45718</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45718</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45718</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45718</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45718</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45718</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45718</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45718</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45718</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45718</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45718</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45718</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45718</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45718</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45718</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45718</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45718</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45718</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45718</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45718</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45718</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45718</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45718</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45718</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45718</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45718</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45718</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45718</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45718</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45718</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45718</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45718</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45718</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45718</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45718</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45718</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45718</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45718</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45718</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45718</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45718</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45718</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45718</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45718</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45718</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45718</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45718</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45718</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45718</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45718</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45718</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45718</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45718</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45718</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45718</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45718</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45718</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45718</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45718</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45718</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45718</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45718</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45718</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45718</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45718</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45718</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45718</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45718</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45718</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45718</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45718</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45718</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45718</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45718</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45718</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45718</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45718</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45718</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45718</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45718</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45718</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45718</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45718</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45718</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45718</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45718</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45718</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45718</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45718</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45718</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45718</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45718</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45718</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45718</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45718</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45718</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45718</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45718</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45718</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45718</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45718</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45718</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45718</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45718</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45718</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45718</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45718</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45718</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45718</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45718</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45718</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45718</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45718</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45718</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45718</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45718</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45718</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45718</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45718</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45718</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45718</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45718</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45718</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45718</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45718</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45718</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45718</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45718</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45718</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45718</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45718</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45718</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45718</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45718</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45718</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45718</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45718</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45718</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45718</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45718</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45718</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45718</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45718</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45718</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45718</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45718</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45718</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45718</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45718</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45718</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45718</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45718</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45718</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45718</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45718</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45718</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45718</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45718</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45718</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45718</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45718</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45718</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45718</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45718</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45718</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45718</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45718</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45718</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45718</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45718</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45718</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4858-2025</t>
        </is>
      </c>
      <c r="B18061" s="1" t="n">
        <v>45688</v>
      </c>
      <c r="C18061" s="1" t="n">
        <v>45718</v>
      </c>
      <c r="D18061" t="inlineStr">
        <is>
          <t>VÄSTERBOTTENS LÄN</t>
        </is>
      </c>
      <c r="E18061" t="inlineStr">
        <is>
          <t>LYCKSELE</t>
        </is>
      </c>
      <c r="F18061" t="inlineStr">
        <is>
          <t>SCA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4886-2025</t>
        </is>
      </c>
      <c r="B18062" s="1" t="n">
        <v>45688</v>
      </c>
      <c r="C18062" s="1" t="n">
        <v>45718</v>
      </c>
      <c r="D18062" t="inlineStr">
        <is>
          <t>VÄSTERBOTTENS LÄN</t>
        </is>
      </c>
      <c r="E18062" t="inlineStr">
        <is>
          <t>LYCKSELE</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4926-2025</t>
        </is>
      </c>
      <c r="B18063" s="1" t="n">
        <v>45688</v>
      </c>
      <c r="C18063" s="1" t="n">
        <v>45718</v>
      </c>
      <c r="D18063" t="inlineStr">
        <is>
          <t>VÄSTERBOTTENS LÄN</t>
        </is>
      </c>
      <c r="E18063" t="inlineStr">
        <is>
          <t>MALÅ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4923-2025</t>
        </is>
      </c>
      <c r="B18064" s="1" t="n">
        <v>45688</v>
      </c>
      <c r="C18064" s="1" t="n">
        <v>45718</v>
      </c>
      <c r="D18064" t="inlineStr">
        <is>
          <t>VÄSTERBOTTENS LÄN</t>
        </is>
      </c>
      <c r="E18064" t="inlineStr">
        <is>
          <t>SKELLEFTEÅ</t>
        </is>
      </c>
      <c r="G18064" t="n">
        <v>12.1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4927-2025</t>
        </is>
      </c>
      <c r="B18065" s="1" t="n">
        <v>45688</v>
      </c>
      <c r="C18065" s="1" t="n">
        <v>45718</v>
      </c>
      <c r="D18065" t="inlineStr">
        <is>
          <t>VÄSTERBOTTENS LÄN</t>
        </is>
      </c>
      <c r="E18065" t="inlineStr">
        <is>
          <t>MALÅ</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45718</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45718</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45718</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45718</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4925-2025</t>
        </is>
      </c>
      <c r="B18070" s="1" t="n">
        <v>45688</v>
      </c>
      <c r="C18070" s="1" t="n">
        <v>45718</v>
      </c>
      <c r="D18070" t="inlineStr">
        <is>
          <t>VÄSTERBOTTENS LÄN</t>
        </is>
      </c>
      <c r="E18070" t="inlineStr">
        <is>
          <t>MALÅ</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4956-2025</t>
        </is>
      </c>
      <c r="B18071" s="1" t="n">
        <v>45689</v>
      </c>
      <c r="C18071" s="1" t="n">
        <v>45718</v>
      </c>
      <c r="D18071" t="inlineStr">
        <is>
          <t>VÄSTERBOTTENS LÄN</t>
        </is>
      </c>
      <c r="E18071" t="inlineStr">
        <is>
          <t>SKELLEFTEÅ</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4959-2025</t>
        </is>
      </c>
      <c r="B18072" s="1" t="n">
        <v>45689</v>
      </c>
      <c r="C18072" s="1" t="n">
        <v>45718</v>
      </c>
      <c r="D18072" t="inlineStr">
        <is>
          <t>VÄSTERBOTTENS LÄN</t>
        </is>
      </c>
      <c r="E18072" t="inlineStr">
        <is>
          <t>SKELLEFTEÅ</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4958-2025</t>
        </is>
      </c>
      <c r="B18073" s="1" t="n">
        <v>45689</v>
      </c>
      <c r="C18073" s="1" t="n">
        <v>45718</v>
      </c>
      <c r="D18073" t="inlineStr">
        <is>
          <t>VÄSTERBOTTENS LÄN</t>
        </is>
      </c>
      <c r="E18073" t="inlineStr">
        <is>
          <t>SKELLEFTEÅ</t>
        </is>
      </c>
      <c r="G18073" t="n">
        <v>5.1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45718</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5029-2025</t>
        </is>
      </c>
      <c r="B18075" s="1" t="n">
        <v>45691</v>
      </c>
      <c r="C18075" s="1" t="n">
        <v>45718</v>
      </c>
      <c r="D18075" t="inlineStr">
        <is>
          <t>VÄSTERBOTTENS LÄN</t>
        </is>
      </c>
      <c r="E18075" t="inlineStr">
        <is>
          <t>UMEÅ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5011-2025</t>
        </is>
      </c>
      <c r="B18076" s="1" t="n">
        <v>45691</v>
      </c>
      <c r="C18076" s="1" t="n">
        <v>45718</v>
      </c>
      <c r="D18076" t="inlineStr">
        <is>
          <t>VÄSTERBOTTENS LÄN</t>
        </is>
      </c>
      <c r="E18076" t="inlineStr">
        <is>
          <t>SKELLEFTEÅ</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5039-2025</t>
        </is>
      </c>
      <c r="B18077" s="1" t="n">
        <v>45691</v>
      </c>
      <c r="C18077" s="1" t="n">
        <v>45718</v>
      </c>
      <c r="D18077" t="inlineStr">
        <is>
          <t>VÄSTERBOTTENS LÄN</t>
        </is>
      </c>
      <c r="E18077" t="inlineStr">
        <is>
          <t>LYCKSELE</t>
        </is>
      </c>
      <c r="G18077" t="n">
        <v>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5186-2025</t>
        </is>
      </c>
      <c r="B18078" s="1" t="n">
        <v>45691</v>
      </c>
      <c r="C18078" s="1" t="n">
        <v>45718</v>
      </c>
      <c r="D18078" t="inlineStr">
        <is>
          <t>VÄSTERBOTTENS LÄN</t>
        </is>
      </c>
      <c r="E18078" t="inlineStr">
        <is>
          <t>SKELLEFTEÅ</t>
        </is>
      </c>
      <c r="G18078" t="n">
        <v>16.3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5112-2025</t>
        </is>
      </c>
      <c r="B18079" s="1" t="n">
        <v>45691</v>
      </c>
      <c r="C18079" s="1" t="n">
        <v>45718</v>
      </c>
      <c r="D18079" t="inlineStr">
        <is>
          <t>VÄSTERBOTTENS LÄN</t>
        </is>
      </c>
      <c r="E18079" t="inlineStr">
        <is>
          <t>ÅSELE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5116-2025</t>
        </is>
      </c>
      <c r="B18080" s="1" t="n">
        <v>45691</v>
      </c>
      <c r="C18080" s="1" t="n">
        <v>45718</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5133-2025</t>
        </is>
      </c>
      <c r="B18081" s="1" t="n">
        <v>45691</v>
      </c>
      <c r="C18081" s="1" t="n">
        <v>45718</v>
      </c>
      <c r="D18081" t="inlineStr">
        <is>
          <t>VÄSTERBOTTENS LÄN</t>
        </is>
      </c>
      <c r="E18081" t="inlineStr">
        <is>
          <t>SKELLEFTEÅ</t>
        </is>
      </c>
      <c r="G18081" t="n">
        <v>7.1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5082-2025</t>
        </is>
      </c>
      <c r="B18082" s="1" t="n">
        <v>45691</v>
      </c>
      <c r="C18082" s="1" t="n">
        <v>45718</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5078-2025</t>
        </is>
      </c>
      <c r="B18083" s="1" t="n">
        <v>45691</v>
      </c>
      <c r="C18083" s="1" t="n">
        <v>45718</v>
      </c>
      <c r="D18083" t="inlineStr">
        <is>
          <t>VÄSTERBOTTENS LÄN</t>
        </is>
      </c>
      <c r="E18083" t="inlineStr">
        <is>
          <t>UMEÅ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5083-2025</t>
        </is>
      </c>
      <c r="B18084" s="1" t="n">
        <v>45691</v>
      </c>
      <c r="C18084" s="1" t="n">
        <v>45718</v>
      </c>
      <c r="D18084" t="inlineStr">
        <is>
          <t>VÄSTERBOTTENS LÄN</t>
        </is>
      </c>
      <c r="E18084" t="inlineStr">
        <is>
          <t>NORDMALING</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5147-2025</t>
        </is>
      </c>
      <c r="B18085" s="1" t="n">
        <v>45691</v>
      </c>
      <c r="C18085" s="1" t="n">
        <v>45718</v>
      </c>
      <c r="D18085" t="inlineStr">
        <is>
          <t>VÄSTERBOTTENS LÄN</t>
        </is>
      </c>
      <c r="E18085" t="inlineStr">
        <is>
          <t>SKELLEFTEÅ</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5232-2025</t>
        </is>
      </c>
      <c r="B18086" s="1" t="n">
        <v>45691</v>
      </c>
      <c r="C18086" s="1" t="n">
        <v>45718</v>
      </c>
      <c r="D18086" t="inlineStr">
        <is>
          <t>VÄSTERBOTTENS LÄN</t>
        </is>
      </c>
      <c r="E18086" t="inlineStr">
        <is>
          <t>UMEÅ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5248-2025</t>
        </is>
      </c>
      <c r="B18087" s="1" t="n">
        <v>45692</v>
      </c>
      <c r="C18087" s="1" t="n">
        <v>45718</v>
      </c>
      <c r="D18087" t="inlineStr">
        <is>
          <t>VÄSTERBOTTENS LÄN</t>
        </is>
      </c>
      <c r="E18087" t="inlineStr">
        <is>
          <t>DOROTEA</t>
        </is>
      </c>
      <c r="F18087" t="inlineStr">
        <is>
          <t>SCA</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5302-2025</t>
        </is>
      </c>
      <c r="B18088" s="1" t="n">
        <v>45692</v>
      </c>
      <c r="C18088" s="1" t="n">
        <v>45718</v>
      </c>
      <c r="D18088" t="inlineStr">
        <is>
          <t>VÄSTERBOTTENS LÄN</t>
        </is>
      </c>
      <c r="E18088" t="inlineStr">
        <is>
          <t>UMEÅ</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5280-2025</t>
        </is>
      </c>
      <c r="B18089" s="1" t="n">
        <v>45692</v>
      </c>
      <c r="C18089" s="1" t="n">
        <v>45718</v>
      </c>
      <c r="D18089" t="inlineStr">
        <is>
          <t>VÄSTERBOTTENS LÄN</t>
        </is>
      </c>
      <c r="E18089" t="inlineStr">
        <is>
          <t>UMEÅ</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5251-2025</t>
        </is>
      </c>
      <c r="B18090" s="1" t="n">
        <v>45692</v>
      </c>
      <c r="C18090" s="1" t="n">
        <v>45718</v>
      </c>
      <c r="D18090" t="inlineStr">
        <is>
          <t>VÄSTERBOTTENS LÄN</t>
        </is>
      </c>
      <c r="E18090" t="inlineStr">
        <is>
          <t>ROBERTSFORS</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5367-2025</t>
        </is>
      </c>
      <c r="B18091" s="1" t="n">
        <v>45692</v>
      </c>
      <c r="C18091" s="1" t="n">
        <v>45718</v>
      </c>
      <c r="D18091" t="inlineStr">
        <is>
          <t>VÄSTERBOTTENS LÄN</t>
        </is>
      </c>
      <c r="E18091" t="inlineStr">
        <is>
          <t>SKELLEFTEÅ</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5374-2025</t>
        </is>
      </c>
      <c r="B18092" s="1" t="n">
        <v>45692</v>
      </c>
      <c r="C18092" s="1" t="n">
        <v>45718</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5403-2025</t>
        </is>
      </c>
      <c r="B18093" s="1" t="n">
        <v>45692</v>
      </c>
      <c r="C18093" s="1" t="n">
        <v>45718</v>
      </c>
      <c r="D18093" t="inlineStr">
        <is>
          <t>VÄSTERBOTTENS LÄN</t>
        </is>
      </c>
      <c r="E18093" t="inlineStr">
        <is>
          <t>VILHELMINA</t>
        </is>
      </c>
      <c r="F18093" t="inlineStr">
        <is>
          <t>Kommuner</t>
        </is>
      </c>
      <c r="G18093" t="n">
        <v>14.9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5446-2025</t>
        </is>
      </c>
      <c r="B18094" s="1" t="n">
        <v>45692</v>
      </c>
      <c r="C18094" s="1" t="n">
        <v>45718</v>
      </c>
      <c r="D18094" t="inlineStr">
        <is>
          <t>VÄSTERBOTTENS LÄN</t>
        </is>
      </c>
      <c r="E18094" t="inlineStr">
        <is>
          <t>UMEÅ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5575-2025</t>
        </is>
      </c>
      <c r="B18095" s="1" t="n">
        <v>45693</v>
      </c>
      <c r="C18095" s="1" t="n">
        <v>45718</v>
      </c>
      <c r="D18095" t="inlineStr">
        <is>
          <t>VÄSTERBOTTENS LÄN</t>
        </is>
      </c>
      <c r="E18095" t="inlineStr">
        <is>
          <t>VILHELMINA</t>
        </is>
      </c>
      <c r="F18095" t="inlineStr">
        <is>
          <t>SCA</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5475-2025</t>
        </is>
      </c>
      <c r="B18096" s="1" t="n">
        <v>45693</v>
      </c>
      <c r="C18096" s="1" t="n">
        <v>45718</v>
      </c>
      <c r="D18096" t="inlineStr">
        <is>
          <t>VÄSTERBOTTENS LÄN</t>
        </is>
      </c>
      <c r="E18096" t="inlineStr">
        <is>
          <t>SKELLEFTEÅ</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5497-2025</t>
        </is>
      </c>
      <c r="B18097" s="1" t="n">
        <v>45693</v>
      </c>
      <c r="C18097" s="1" t="n">
        <v>45718</v>
      </c>
      <c r="D18097" t="inlineStr">
        <is>
          <t>VÄSTERBOTTENS LÄN</t>
        </is>
      </c>
      <c r="E18097" t="inlineStr">
        <is>
          <t>NORSJÖ</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5541-2025</t>
        </is>
      </c>
      <c r="B18098" s="1" t="n">
        <v>45693</v>
      </c>
      <c r="C18098" s="1" t="n">
        <v>45718</v>
      </c>
      <c r="D18098" t="inlineStr">
        <is>
          <t>VÄSTERBOTTENS LÄN</t>
        </is>
      </c>
      <c r="E18098" t="inlineStr">
        <is>
          <t>BJURHOLM</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5595-2025</t>
        </is>
      </c>
      <c r="B18099" s="1" t="n">
        <v>45693</v>
      </c>
      <c r="C18099" s="1" t="n">
        <v>45718</v>
      </c>
      <c r="D18099" t="inlineStr">
        <is>
          <t>VÄSTERBOTTENS LÄN</t>
        </is>
      </c>
      <c r="E18099" t="inlineStr">
        <is>
          <t>NORDMALING</t>
        </is>
      </c>
      <c r="F18099" t="inlineStr">
        <is>
          <t>SCA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5582-2025</t>
        </is>
      </c>
      <c r="B18100" s="1" t="n">
        <v>45693</v>
      </c>
      <c r="C18100" s="1" t="n">
        <v>45718</v>
      </c>
      <c r="D18100" t="inlineStr">
        <is>
          <t>VÄSTERBOTTENS LÄN</t>
        </is>
      </c>
      <c r="E18100" t="inlineStr">
        <is>
          <t>BJURHOLM</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5639-2025</t>
        </is>
      </c>
      <c r="B18101" s="1" t="n">
        <v>45693</v>
      </c>
      <c r="C18101" s="1" t="n">
        <v>45718</v>
      </c>
      <c r="D18101" t="inlineStr">
        <is>
          <t>VÄSTERBOTTENS LÄN</t>
        </is>
      </c>
      <c r="E18101" t="inlineStr">
        <is>
          <t>DOROTEA</t>
        </is>
      </c>
      <c r="F18101" t="inlineStr">
        <is>
          <t>SCA</t>
        </is>
      </c>
      <c r="G18101" t="n">
        <v>40.9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5640-2025</t>
        </is>
      </c>
      <c r="B18102" s="1" t="n">
        <v>45693</v>
      </c>
      <c r="C18102" s="1" t="n">
        <v>45718</v>
      </c>
      <c r="D18102" t="inlineStr">
        <is>
          <t>VÄSTERBOTTENS LÄN</t>
        </is>
      </c>
      <c r="E18102" t="inlineStr">
        <is>
          <t>DOROTEA</t>
        </is>
      </c>
      <c r="F18102" t="inlineStr">
        <is>
          <t>SCA</t>
        </is>
      </c>
      <c r="G18102" t="n">
        <v>24.1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5563-2025</t>
        </is>
      </c>
      <c r="B18103" s="1" t="n">
        <v>45693</v>
      </c>
      <c r="C18103" s="1" t="n">
        <v>45718</v>
      </c>
      <c r="D18103" t="inlineStr">
        <is>
          <t>VÄSTERBOTTENS LÄN</t>
        </is>
      </c>
      <c r="E18103" t="inlineStr">
        <is>
          <t>SKELLEFTEÅ</t>
        </is>
      </c>
      <c r="G18103" t="n">
        <v>2.7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5687-2025</t>
        </is>
      </c>
      <c r="B18104" s="1" t="n">
        <v>45694</v>
      </c>
      <c r="C18104" s="1" t="n">
        <v>45718</v>
      </c>
      <c r="D18104" t="inlineStr">
        <is>
          <t>VÄSTERBOTTENS LÄN</t>
        </is>
      </c>
      <c r="E18104" t="inlineStr">
        <is>
          <t>LYCKSELE</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5768-2025</t>
        </is>
      </c>
      <c r="B18105" s="1" t="n">
        <v>45694</v>
      </c>
      <c r="C18105" s="1" t="n">
        <v>45718</v>
      </c>
      <c r="D18105" t="inlineStr">
        <is>
          <t>VÄSTERBOTTENS LÄN</t>
        </is>
      </c>
      <c r="E18105" t="inlineStr">
        <is>
          <t>SKELLEFTEÅ</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5772-2025</t>
        </is>
      </c>
      <c r="B18106" s="1" t="n">
        <v>45694</v>
      </c>
      <c r="C18106" s="1" t="n">
        <v>45718</v>
      </c>
      <c r="D18106" t="inlineStr">
        <is>
          <t>VÄSTERBOTTENS LÄN</t>
        </is>
      </c>
      <c r="E18106" t="inlineStr">
        <is>
          <t>NORSJÖ</t>
        </is>
      </c>
      <c r="F18106" t="inlineStr">
        <is>
          <t>Holmen skog AB</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5700-2025</t>
        </is>
      </c>
      <c r="B18107" s="1" t="n">
        <v>45694</v>
      </c>
      <c r="C18107" s="1" t="n">
        <v>45718</v>
      </c>
      <c r="D18107" t="inlineStr">
        <is>
          <t>VÄSTERBOTTENS LÄN</t>
        </is>
      </c>
      <c r="E18107" t="inlineStr">
        <is>
          <t>MALÅ</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5678-2025</t>
        </is>
      </c>
      <c r="B18108" s="1" t="n">
        <v>45694</v>
      </c>
      <c r="C18108" s="1" t="n">
        <v>45718</v>
      </c>
      <c r="D18108" t="inlineStr">
        <is>
          <t>VÄSTERBOTTENS LÄN</t>
        </is>
      </c>
      <c r="E18108" t="inlineStr">
        <is>
          <t>UMEÅ</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5770-2025</t>
        </is>
      </c>
      <c r="B18109" s="1" t="n">
        <v>45694</v>
      </c>
      <c r="C18109" s="1" t="n">
        <v>45718</v>
      </c>
      <c r="D18109" t="inlineStr">
        <is>
          <t>VÄSTERBOTTENS LÄN</t>
        </is>
      </c>
      <c r="E18109" t="inlineStr">
        <is>
          <t>NORSJÖ</t>
        </is>
      </c>
      <c r="G18109" t="n">
        <v>8.300000000000001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5783-2025</t>
        </is>
      </c>
      <c r="B18110" s="1" t="n">
        <v>45694</v>
      </c>
      <c r="C18110" s="1" t="n">
        <v>45718</v>
      </c>
      <c r="D18110" t="inlineStr">
        <is>
          <t>VÄSTERBOTTENS LÄN</t>
        </is>
      </c>
      <c r="E18110" t="inlineStr">
        <is>
          <t>SKELLEFTEÅ</t>
        </is>
      </c>
      <c r="G18110" t="n">
        <v>3.4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5794-2025</t>
        </is>
      </c>
      <c r="B18111" s="1" t="n">
        <v>45694</v>
      </c>
      <c r="C18111" s="1" t="n">
        <v>45718</v>
      </c>
      <c r="D18111" t="inlineStr">
        <is>
          <t>VÄSTERBOTTENS LÄN</t>
        </is>
      </c>
      <c r="E18111" t="inlineStr">
        <is>
          <t>MALÅ</t>
        </is>
      </c>
      <c r="F18111" t="inlineStr">
        <is>
          <t>SCA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5827-2025</t>
        </is>
      </c>
      <c r="B18112" s="1" t="n">
        <v>45694</v>
      </c>
      <c r="C18112" s="1" t="n">
        <v>45718</v>
      </c>
      <c r="D18112" t="inlineStr">
        <is>
          <t>VÄSTERBOTTENS LÄN</t>
        </is>
      </c>
      <c r="E18112" t="inlineStr">
        <is>
          <t>SKELLEFTEÅ</t>
        </is>
      </c>
      <c r="G18112" t="n">
        <v>8.6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5831-2025</t>
        </is>
      </c>
      <c r="B18113" s="1" t="n">
        <v>45694</v>
      </c>
      <c r="C18113" s="1" t="n">
        <v>45718</v>
      </c>
      <c r="D18113" t="inlineStr">
        <is>
          <t>VÄSTERBOTTENS LÄN</t>
        </is>
      </c>
      <c r="E18113" t="inlineStr">
        <is>
          <t>SKELLEFTEÅ</t>
        </is>
      </c>
      <c r="G18113" t="n">
        <v>3.5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5826-2025</t>
        </is>
      </c>
      <c r="B18114" s="1" t="n">
        <v>45694</v>
      </c>
      <c r="C18114" s="1" t="n">
        <v>45718</v>
      </c>
      <c r="D18114" t="inlineStr">
        <is>
          <t>VÄSTERBOTTENS LÄN</t>
        </is>
      </c>
      <c r="E18114" t="inlineStr">
        <is>
          <t>SKELLEFTEÅ</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5830-2025</t>
        </is>
      </c>
      <c r="B18115" s="1" t="n">
        <v>45694</v>
      </c>
      <c r="C18115" s="1" t="n">
        <v>45718</v>
      </c>
      <c r="D18115" t="inlineStr">
        <is>
          <t>VÄSTERBOTTENS LÄN</t>
        </is>
      </c>
      <c r="E18115" t="inlineStr">
        <is>
          <t>SKELLEFTEÅ</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5829-2025</t>
        </is>
      </c>
      <c r="B18116" s="1" t="n">
        <v>45694</v>
      </c>
      <c r="C18116" s="1" t="n">
        <v>45718</v>
      </c>
      <c r="D18116" t="inlineStr">
        <is>
          <t>VÄSTERBOTTENS LÄN</t>
        </is>
      </c>
      <c r="E18116" t="inlineStr">
        <is>
          <t>SKELLEFTEÅ</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5876-2025</t>
        </is>
      </c>
      <c r="B18117" s="1" t="n">
        <v>45694</v>
      </c>
      <c r="C18117" s="1" t="n">
        <v>45718</v>
      </c>
      <c r="D18117" t="inlineStr">
        <is>
          <t>VÄSTERBOTTENS LÄN</t>
        </is>
      </c>
      <c r="E18117" t="inlineStr">
        <is>
          <t>SKELLEFTEÅ</t>
        </is>
      </c>
      <c r="G18117" t="n">
        <v>60.7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5828-2025</t>
        </is>
      </c>
      <c r="B18118" s="1" t="n">
        <v>45694</v>
      </c>
      <c r="C18118" s="1" t="n">
        <v>45718</v>
      </c>
      <c r="D18118" t="inlineStr">
        <is>
          <t>VÄSTERBOTTENS LÄN</t>
        </is>
      </c>
      <c r="E18118" t="inlineStr">
        <is>
          <t>SKELLEFTEÅ</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5856-2025</t>
        </is>
      </c>
      <c r="B18119" s="1" t="n">
        <v>45695</v>
      </c>
      <c r="C18119" s="1" t="n">
        <v>45718</v>
      </c>
      <c r="D18119" t="inlineStr">
        <is>
          <t>VÄSTERBOTTENS LÄN</t>
        </is>
      </c>
      <c r="E18119" t="inlineStr">
        <is>
          <t>LYCKSELE</t>
        </is>
      </c>
      <c r="F18119" t="inlineStr">
        <is>
          <t>SCA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5864-2025</t>
        </is>
      </c>
      <c r="B18120" s="1" t="n">
        <v>45695</v>
      </c>
      <c r="C18120" s="1" t="n">
        <v>45718</v>
      </c>
      <c r="D18120" t="inlineStr">
        <is>
          <t>VÄSTERBOTTENS LÄN</t>
        </is>
      </c>
      <c r="E18120" t="inlineStr">
        <is>
          <t>ROBERTSFORS</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5877-2025</t>
        </is>
      </c>
      <c r="B18121" s="1" t="n">
        <v>45695</v>
      </c>
      <c r="C18121" s="1" t="n">
        <v>45718</v>
      </c>
      <c r="D18121" t="inlineStr">
        <is>
          <t>VÄSTERBOTTENS LÄN</t>
        </is>
      </c>
      <c r="E18121" t="inlineStr">
        <is>
          <t>ROBERTSFORS</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5927-2025</t>
        </is>
      </c>
      <c r="B18122" s="1" t="n">
        <v>45695</v>
      </c>
      <c r="C18122" s="1" t="n">
        <v>45718</v>
      </c>
      <c r="D18122" t="inlineStr">
        <is>
          <t>VÄSTERBOTTENS LÄN</t>
        </is>
      </c>
      <c r="E18122" t="inlineStr">
        <is>
          <t>SKELLEFTEÅ</t>
        </is>
      </c>
      <c r="G18122" t="n">
        <v>3.3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5894-2025</t>
        </is>
      </c>
      <c r="B18123" s="1" t="n">
        <v>45695</v>
      </c>
      <c r="C18123" s="1" t="n">
        <v>45718</v>
      </c>
      <c r="D18123" t="inlineStr">
        <is>
          <t>VÄSTERBOTTENS LÄN</t>
        </is>
      </c>
      <c r="E18123" t="inlineStr">
        <is>
          <t>MALÅ</t>
        </is>
      </c>
      <c r="F18123" t="inlineStr">
        <is>
          <t>Sveaskog</t>
        </is>
      </c>
      <c r="G18123" t="n">
        <v>18.7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5926-2025</t>
        </is>
      </c>
      <c r="B18124" s="1" t="n">
        <v>45695</v>
      </c>
      <c r="C18124" s="1" t="n">
        <v>45718</v>
      </c>
      <c r="D18124" t="inlineStr">
        <is>
          <t>VÄSTERBOTTENS LÄN</t>
        </is>
      </c>
      <c r="E18124" t="inlineStr">
        <is>
          <t>SKELLEFTEÅ</t>
        </is>
      </c>
      <c r="G18124" t="n">
        <v>8.800000000000001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5986-2025</t>
        </is>
      </c>
      <c r="B18125" s="1" t="n">
        <v>45695</v>
      </c>
      <c r="C18125" s="1" t="n">
        <v>45718</v>
      </c>
      <c r="D18125" t="inlineStr">
        <is>
          <t>VÄSTERBOTTENS LÄN</t>
        </is>
      </c>
      <c r="E18125" t="inlineStr">
        <is>
          <t>SKELLEFTEÅ</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5994-2025</t>
        </is>
      </c>
      <c r="B18126" s="1" t="n">
        <v>45695</v>
      </c>
      <c r="C18126" s="1" t="n">
        <v>45718</v>
      </c>
      <c r="D18126" t="inlineStr">
        <is>
          <t>VÄSTERBOTTENS LÄN</t>
        </is>
      </c>
      <c r="E18126" t="inlineStr">
        <is>
          <t>UMEÅ</t>
        </is>
      </c>
      <c r="G18126" t="n">
        <v>4.5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5937-2025</t>
        </is>
      </c>
      <c r="B18127" s="1" t="n">
        <v>45695</v>
      </c>
      <c r="C18127" s="1" t="n">
        <v>45718</v>
      </c>
      <c r="D18127" t="inlineStr">
        <is>
          <t>VÄSTERBOTTENS LÄN</t>
        </is>
      </c>
      <c r="E18127" t="inlineStr">
        <is>
          <t>ROBERTSFORS</t>
        </is>
      </c>
      <c r="G18127" t="n">
        <v>6.8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5969-2025</t>
        </is>
      </c>
      <c r="B18128" s="1" t="n">
        <v>45695</v>
      </c>
      <c r="C18128" s="1" t="n">
        <v>45718</v>
      </c>
      <c r="D18128" t="inlineStr">
        <is>
          <t>VÄSTERBOTTENS LÄN</t>
        </is>
      </c>
      <c r="E18128" t="inlineStr">
        <is>
          <t>ROBERTSFORS</t>
        </is>
      </c>
      <c r="G18128" t="n">
        <v>18.1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5985-2025</t>
        </is>
      </c>
      <c r="B18129" s="1" t="n">
        <v>45695</v>
      </c>
      <c r="C18129" s="1" t="n">
        <v>45718</v>
      </c>
      <c r="D18129" t="inlineStr">
        <is>
          <t>VÄSTERBOTTENS LÄN</t>
        </is>
      </c>
      <c r="E18129" t="inlineStr">
        <is>
          <t>SKELLEFTEÅ</t>
        </is>
      </c>
      <c r="G18129" t="n">
        <v>6.2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6018-2025</t>
        </is>
      </c>
      <c r="B18130" s="1" t="n">
        <v>45695</v>
      </c>
      <c r="C18130" s="1" t="n">
        <v>45718</v>
      </c>
      <c r="D18130" t="inlineStr">
        <is>
          <t>VÄSTERBOTTENS LÄN</t>
        </is>
      </c>
      <c r="E18130" t="inlineStr">
        <is>
          <t>SKELLEFTEÅ</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6031-2025</t>
        </is>
      </c>
      <c r="B18131" s="1" t="n">
        <v>45695</v>
      </c>
      <c r="C18131" s="1" t="n">
        <v>45718</v>
      </c>
      <c r="D18131" t="inlineStr">
        <is>
          <t>VÄSTERBOTTENS LÄN</t>
        </is>
      </c>
      <c r="E18131" t="inlineStr">
        <is>
          <t>LYCKSELE</t>
        </is>
      </c>
      <c r="F18131" t="inlineStr">
        <is>
          <t>SCA</t>
        </is>
      </c>
      <c r="G18131" t="n">
        <v>25.8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6052-2025</t>
        </is>
      </c>
      <c r="B18132" s="1" t="n">
        <v>45695</v>
      </c>
      <c r="C18132" s="1" t="n">
        <v>45718</v>
      </c>
      <c r="D18132" t="inlineStr">
        <is>
          <t>VÄSTERBOTTENS LÄN</t>
        </is>
      </c>
      <c r="E18132" t="inlineStr">
        <is>
          <t>VINDELN</t>
        </is>
      </c>
      <c r="G18132" t="n">
        <v>18.6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5997-2025</t>
        </is>
      </c>
      <c r="B18133" s="1" t="n">
        <v>45695</v>
      </c>
      <c r="C18133" s="1" t="n">
        <v>45718</v>
      </c>
      <c r="D18133" t="inlineStr">
        <is>
          <t>VÄSTERBOTTENS LÄN</t>
        </is>
      </c>
      <c r="E18133" t="inlineStr">
        <is>
          <t>ROBERTSFORS</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6007-2025</t>
        </is>
      </c>
      <c r="B18134" s="1" t="n">
        <v>45695</v>
      </c>
      <c r="C18134" s="1" t="n">
        <v>45718</v>
      </c>
      <c r="D18134" t="inlineStr">
        <is>
          <t>VÄSTERBOTTENS LÄN</t>
        </is>
      </c>
      <c r="E18134" t="inlineStr">
        <is>
          <t>SKELLEFTEÅ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6168-2025</t>
        </is>
      </c>
      <c r="B18135" s="1" t="n">
        <v>45695</v>
      </c>
      <c r="C18135" s="1" t="n">
        <v>45718</v>
      </c>
      <c r="D18135" t="inlineStr">
        <is>
          <t>VÄSTERBOTTENS LÄN</t>
        </is>
      </c>
      <c r="E18135" t="inlineStr">
        <is>
          <t>SKELLEFTEÅ</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5932-2025</t>
        </is>
      </c>
      <c r="B18136" s="1" t="n">
        <v>45695</v>
      </c>
      <c r="C18136" s="1" t="n">
        <v>45718</v>
      </c>
      <c r="D18136" t="inlineStr">
        <is>
          <t>VÄSTERBOTTENS LÄN</t>
        </is>
      </c>
      <c r="E18136" t="inlineStr">
        <is>
          <t>LYCKSELE</t>
        </is>
      </c>
      <c r="F18136" t="inlineStr">
        <is>
          <t>SCA</t>
        </is>
      </c>
      <c r="G18136" t="n">
        <v>14.2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5976-2025</t>
        </is>
      </c>
      <c r="B18137" s="1" t="n">
        <v>45695</v>
      </c>
      <c r="C18137" s="1" t="n">
        <v>45718</v>
      </c>
      <c r="D18137" t="inlineStr">
        <is>
          <t>VÄSTERBOTTENS LÄN</t>
        </is>
      </c>
      <c r="E18137" t="inlineStr">
        <is>
          <t>ROBERTSFORS</t>
        </is>
      </c>
      <c r="G18137" t="n">
        <v>16.8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6228-2025</t>
        </is>
      </c>
      <c r="B18138" s="1" t="n">
        <v>45697</v>
      </c>
      <c r="C18138" s="1" t="n">
        <v>45718</v>
      </c>
      <c r="D18138" t="inlineStr">
        <is>
          <t>VÄSTERBOTTENS LÄN</t>
        </is>
      </c>
      <c r="E18138" t="inlineStr">
        <is>
          <t>SORSELE</t>
        </is>
      </c>
      <c r="G18138" t="n">
        <v>5.8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6231-2025</t>
        </is>
      </c>
      <c r="B18139" s="1" t="n">
        <v>45697</v>
      </c>
      <c r="C18139" s="1" t="n">
        <v>45718</v>
      </c>
      <c r="D18139" t="inlineStr">
        <is>
          <t>VÄSTERBOTTENS LÄN</t>
        </is>
      </c>
      <c r="E18139" t="inlineStr">
        <is>
          <t>SORSELE</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6130-2025</t>
        </is>
      </c>
      <c r="B18140" s="1" t="n">
        <v>45698</v>
      </c>
      <c r="C18140" s="1" t="n">
        <v>45718</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6120-2025</t>
        </is>
      </c>
      <c r="B18141" s="1" t="n">
        <v>45698</v>
      </c>
      <c r="C18141" s="1" t="n">
        <v>45718</v>
      </c>
      <c r="D18141" t="inlineStr">
        <is>
          <t>VÄSTERBOTTENS LÄN</t>
        </is>
      </c>
      <c r="E18141" t="inlineStr">
        <is>
          <t>UMEÅ</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6179-2025</t>
        </is>
      </c>
      <c r="B18142" s="1" t="n">
        <v>45698</v>
      </c>
      <c r="C18142" s="1" t="n">
        <v>45718</v>
      </c>
      <c r="D18142" t="inlineStr">
        <is>
          <t>VÄSTERBOTTENS LÄN</t>
        </is>
      </c>
      <c r="E18142" t="inlineStr">
        <is>
          <t>VÄNNÄS</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6123-2025</t>
        </is>
      </c>
      <c r="B18143" s="1" t="n">
        <v>45698</v>
      </c>
      <c r="C18143" s="1" t="n">
        <v>45718</v>
      </c>
      <c r="D18143" t="inlineStr">
        <is>
          <t>VÄSTERBOTTENS LÄN</t>
        </is>
      </c>
      <c r="E18143" t="inlineStr">
        <is>
          <t>LYCKSELE</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6180-2025</t>
        </is>
      </c>
      <c r="B18144" s="1" t="n">
        <v>45698</v>
      </c>
      <c r="C18144" s="1" t="n">
        <v>45718</v>
      </c>
      <c r="D18144" t="inlineStr">
        <is>
          <t>VÄSTERBOTTENS LÄN</t>
        </is>
      </c>
      <c r="E18144" t="inlineStr">
        <is>
          <t>VÄNNÄS</t>
        </is>
      </c>
      <c r="G18144" t="n">
        <v>5.9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6279-2025</t>
        </is>
      </c>
      <c r="B18145" s="1" t="n">
        <v>45698</v>
      </c>
      <c r="C18145" s="1" t="n">
        <v>45718</v>
      </c>
      <c r="D18145" t="inlineStr">
        <is>
          <t>VÄSTERBOTTENS LÄN</t>
        </is>
      </c>
      <c r="E18145" t="inlineStr">
        <is>
          <t>UMEÅ</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6283-2025</t>
        </is>
      </c>
      <c r="B18146" s="1" t="n">
        <v>45698</v>
      </c>
      <c r="C18146" s="1" t="n">
        <v>45718</v>
      </c>
      <c r="D18146" t="inlineStr">
        <is>
          <t>VÄSTERBOTTENS LÄN</t>
        </is>
      </c>
      <c r="E18146" t="inlineStr">
        <is>
          <t>ÅSELE</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45718</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6286-2025</t>
        </is>
      </c>
      <c r="B18148" s="1" t="n">
        <v>45698</v>
      </c>
      <c r="C18148" s="1" t="n">
        <v>45718</v>
      </c>
      <c r="D18148" t="inlineStr">
        <is>
          <t>VÄSTERBOTTENS LÄN</t>
        </is>
      </c>
      <c r="E18148" t="inlineStr">
        <is>
          <t>SKELLEFTEÅ</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45718</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6344-2025</t>
        </is>
      </c>
      <c r="B18150" s="1" t="n">
        <v>45699</v>
      </c>
      <c r="C18150" s="1" t="n">
        <v>45718</v>
      </c>
      <c r="D18150" t="inlineStr">
        <is>
          <t>VÄSTERBOTTENS LÄN</t>
        </is>
      </c>
      <c r="E18150" t="inlineStr">
        <is>
          <t>NORSJÖ</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6544-2025</t>
        </is>
      </c>
      <c r="B18151" s="1" t="n">
        <v>45699</v>
      </c>
      <c r="C18151" s="1" t="n">
        <v>45718</v>
      </c>
      <c r="D18151" t="inlineStr">
        <is>
          <t>VÄSTERBOTTENS LÄN</t>
        </is>
      </c>
      <c r="E18151" t="inlineStr">
        <is>
          <t>STORUMAN</t>
        </is>
      </c>
      <c r="G18151" t="n">
        <v>78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6443-2025</t>
        </is>
      </c>
      <c r="B18152" s="1" t="n">
        <v>45699</v>
      </c>
      <c r="C18152" s="1" t="n">
        <v>45718</v>
      </c>
      <c r="D18152" t="inlineStr">
        <is>
          <t>VÄSTERBOTTENS LÄN</t>
        </is>
      </c>
      <c r="E18152" t="inlineStr">
        <is>
          <t>SKELLEFTEÅ</t>
        </is>
      </c>
      <c r="G18152" t="n">
        <v>6.3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6535-2025</t>
        </is>
      </c>
      <c r="B18153" s="1" t="n">
        <v>45699</v>
      </c>
      <c r="C18153" s="1" t="n">
        <v>45718</v>
      </c>
      <c r="D18153" t="inlineStr">
        <is>
          <t>VÄSTERBOTTENS LÄN</t>
        </is>
      </c>
      <c r="E18153" t="inlineStr">
        <is>
          <t>ROBERTSFORS</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6402-2025</t>
        </is>
      </c>
      <c r="B18154" s="1" t="n">
        <v>45699</v>
      </c>
      <c r="C18154" s="1" t="n">
        <v>45718</v>
      </c>
      <c r="D18154" t="inlineStr">
        <is>
          <t>VÄSTERBOTTENS LÄN</t>
        </is>
      </c>
      <c r="E18154" t="inlineStr">
        <is>
          <t>NORDMALING</t>
        </is>
      </c>
      <c r="G18154" t="n">
        <v>7.4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6514-2025</t>
        </is>
      </c>
      <c r="B18155" s="1" t="n">
        <v>45699</v>
      </c>
      <c r="C18155" s="1" t="n">
        <v>45718</v>
      </c>
      <c r="D18155" t="inlineStr">
        <is>
          <t>VÄSTERBOTTENS LÄN</t>
        </is>
      </c>
      <c r="E18155" t="inlineStr">
        <is>
          <t>LYCKSELE</t>
        </is>
      </c>
      <c r="F18155" t="inlineStr">
        <is>
          <t>Övriga Aktiebolag</t>
        </is>
      </c>
      <c r="G18155" t="n">
        <v>12.3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6357-2025</t>
        </is>
      </c>
      <c r="B18156" s="1" t="n">
        <v>45699</v>
      </c>
      <c r="C18156" s="1" t="n">
        <v>45718</v>
      </c>
      <c r="D18156" t="inlineStr">
        <is>
          <t>VÄSTERBOTTENS LÄN</t>
        </is>
      </c>
      <c r="E18156" t="inlineStr">
        <is>
          <t>SKELLEFTEÅ</t>
        </is>
      </c>
      <c r="G18156" t="n">
        <v>5.6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6389-2025</t>
        </is>
      </c>
      <c r="B18157" s="1" t="n">
        <v>45699</v>
      </c>
      <c r="C18157" s="1" t="n">
        <v>45718</v>
      </c>
      <c r="D18157" t="inlineStr">
        <is>
          <t>VÄSTERBOTTENS LÄN</t>
        </is>
      </c>
      <c r="E18157" t="inlineStr">
        <is>
          <t>NORDMALING</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6638-2025</t>
        </is>
      </c>
      <c r="B18158" s="1" t="n">
        <v>45700</v>
      </c>
      <c r="C18158" s="1" t="n">
        <v>45718</v>
      </c>
      <c r="D18158" t="inlineStr">
        <is>
          <t>VÄSTERBOTTENS LÄN</t>
        </is>
      </c>
      <c r="E18158" t="inlineStr">
        <is>
          <t>VILHELMINA</t>
        </is>
      </c>
      <c r="G18158" t="n">
        <v>21.5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6719-2025</t>
        </is>
      </c>
      <c r="B18159" s="1" t="n">
        <v>45700</v>
      </c>
      <c r="C18159" s="1" t="n">
        <v>45718</v>
      </c>
      <c r="D18159" t="inlineStr">
        <is>
          <t>VÄSTERBOTTENS LÄN</t>
        </is>
      </c>
      <c r="E18159" t="inlineStr">
        <is>
          <t>SORSELE</t>
        </is>
      </c>
      <c r="G18159" t="n">
        <v>9.4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6800-2025</t>
        </is>
      </c>
      <c r="B18160" s="1" t="n">
        <v>45700</v>
      </c>
      <c r="C18160" s="1" t="n">
        <v>45718</v>
      </c>
      <c r="D18160" t="inlineStr">
        <is>
          <t>VÄSTERBOTTENS LÄN</t>
        </is>
      </c>
      <c r="E18160" t="inlineStr">
        <is>
          <t>LYCKSELE</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6632-2025</t>
        </is>
      </c>
      <c r="B18161" s="1" t="n">
        <v>45700</v>
      </c>
      <c r="C18161" s="1" t="n">
        <v>45718</v>
      </c>
      <c r="D18161" t="inlineStr">
        <is>
          <t>VÄSTERBOTTENS LÄN</t>
        </is>
      </c>
      <c r="E18161" t="inlineStr">
        <is>
          <t>UMEÅ</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6665-2025</t>
        </is>
      </c>
      <c r="B18162" s="1" t="n">
        <v>45700</v>
      </c>
      <c r="C18162" s="1" t="n">
        <v>45718</v>
      </c>
      <c r="D18162" t="inlineStr">
        <is>
          <t>VÄSTERBOTTENS LÄN</t>
        </is>
      </c>
      <c r="E18162" t="inlineStr">
        <is>
          <t>NORSJÖ</t>
        </is>
      </c>
      <c r="G18162" t="n">
        <v>4.5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6660-2025</t>
        </is>
      </c>
      <c r="B18163" s="1" t="n">
        <v>45700</v>
      </c>
      <c r="C18163" s="1" t="n">
        <v>45718</v>
      </c>
      <c r="D18163" t="inlineStr">
        <is>
          <t>VÄSTERBOTTENS LÄN</t>
        </is>
      </c>
      <c r="E18163" t="inlineStr">
        <is>
          <t>VINDELN</t>
        </is>
      </c>
      <c r="G18163" t="n">
        <v>3.8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6717-2025</t>
        </is>
      </c>
      <c r="B18164" s="1" t="n">
        <v>45700</v>
      </c>
      <c r="C18164" s="1" t="n">
        <v>45718</v>
      </c>
      <c r="D18164" t="inlineStr">
        <is>
          <t>VÄSTERBOTTENS LÄN</t>
        </is>
      </c>
      <c r="E18164" t="inlineStr">
        <is>
          <t>DOROTEA</t>
        </is>
      </c>
      <c r="F18164" t="inlineStr">
        <is>
          <t>SCA</t>
        </is>
      </c>
      <c r="G18164" t="n">
        <v>5.9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6725-2025</t>
        </is>
      </c>
      <c r="B18165" s="1" t="n">
        <v>45700</v>
      </c>
      <c r="C18165" s="1" t="n">
        <v>45718</v>
      </c>
      <c r="D18165" t="inlineStr">
        <is>
          <t>VÄSTERBOTTENS LÄN</t>
        </is>
      </c>
      <c r="E18165" t="inlineStr">
        <is>
          <t>ROBERTSFORS</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6769-2025</t>
        </is>
      </c>
      <c r="B18166" s="1" t="n">
        <v>45700</v>
      </c>
      <c r="C18166" s="1" t="n">
        <v>45718</v>
      </c>
      <c r="D18166" t="inlineStr">
        <is>
          <t>VÄSTERBOTTENS LÄN</t>
        </is>
      </c>
      <c r="E18166" t="inlineStr">
        <is>
          <t>LYCKSELE</t>
        </is>
      </c>
      <c r="F18166" t="inlineStr">
        <is>
          <t>Sveaskog</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6771-2025</t>
        </is>
      </c>
      <c r="B18167" s="1" t="n">
        <v>45700</v>
      </c>
      <c r="C18167" s="1" t="n">
        <v>45718</v>
      </c>
      <c r="D18167" t="inlineStr">
        <is>
          <t>VÄSTERBOTTENS LÄN</t>
        </is>
      </c>
      <c r="E18167" t="inlineStr">
        <is>
          <t>UMEÅ</t>
        </is>
      </c>
      <c r="G18167" t="n">
        <v>9.5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6662-2025</t>
        </is>
      </c>
      <c r="B18168" s="1" t="n">
        <v>45700</v>
      </c>
      <c r="C18168" s="1" t="n">
        <v>45718</v>
      </c>
      <c r="D18168" t="inlineStr">
        <is>
          <t>VÄSTERBOTTENS LÄN</t>
        </is>
      </c>
      <c r="E18168" t="inlineStr">
        <is>
          <t>VINDELN</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6655-2025</t>
        </is>
      </c>
      <c r="B18169" s="1" t="n">
        <v>45700</v>
      </c>
      <c r="C18169" s="1" t="n">
        <v>45718</v>
      </c>
      <c r="D18169" t="inlineStr">
        <is>
          <t>VÄSTERBOTTENS LÄN</t>
        </is>
      </c>
      <c r="E18169" t="inlineStr">
        <is>
          <t>MALÅ</t>
        </is>
      </c>
      <c r="F18169" t="inlineStr">
        <is>
          <t>SCA</t>
        </is>
      </c>
      <c r="G18169" t="n">
        <v>10.2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6671-2025</t>
        </is>
      </c>
      <c r="B18170" s="1" t="n">
        <v>45700</v>
      </c>
      <c r="C18170" s="1" t="n">
        <v>45718</v>
      </c>
      <c r="D18170" t="inlineStr">
        <is>
          <t>VÄSTERBOTTENS LÄN</t>
        </is>
      </c>
      <c r="E18170" t="inlineStr">
        <is>
          <t>MALÅ</t>
        </is>
      </c>
      <c r="F18170" t="inlineStr">
        <is>
          <t>SCA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6700-2025</t>
        </is>
      </c>
      <c r="B18171" s="1" t="n">
        <v>45700</v>
      </c>
      <c r="C18171" s="1" t="n">
        <v>45718</v>
      </c>
      <c r="D18171" t="inlineStr">
        <is>
          <t>VÄSTERBOTTENS LÄN</t>
        </is>
      </c>
      <c r="E18171" t="inlineStr">
        <is>
          <t>LYCKSELE</t>
        </is>
      </c>
      <c r="G18171" t="n">
        <v>18.1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45718</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6924-2025</t>
        </is>
      </c>
      <c r="B18173" s="1" t="n">
        <v>45701</v>
      </c>
      <c r="C18173" s="1" t="n">
        <v>45718</v>
      </c>
      <c r="D18173" t="inlineStr">
        <is>
          <t>VÄSTERBOTTENS LÄN</t>
        </is>
      </c>
      <c r="E18173" t="inlineStr">
        <is>
          <t>STORUMAN</t>
        </is>
      </c>
      <c r="F18173" t="inlineStr">
        <is>
          <t>SCA</t>
        </is>
      </c>
      <c r="G18173" t="n">
        <v>11.7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6899-2025</t>
        </is>
      </c>
      <c r="B18174" s="1" t="n">
        <v>45701</v>
      </c>
      <c r="C18174" s="1" t="n">
        <v>45718</v>
      </c>
      <c r="D18174" t="inlineStr">
        <is>
          <t>VÄSTERBOTTENS LÄN</t>
        </is>
      </c>
      <c r="E18174" t="inlineStr">
        <is>
          <t>SKELLEFTEÅ</t>
        </is>
      </c>
      <c r="G18174" t="n">
        <v>5.8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6943-2025</t>
        </is>
      </c>
      <c r="B18175" s="1" t="n">
        <v>45701</v>
      </c>
      <c r="C18175" s="1" t="n">
        <v>45718</v>
      </c>
      <c r="D18175" t="inlineStr">
        <is>
          <t>VÄSTERBOTTENS LÄN</t>
        </is>
      </c>
      <c r="E18175" t="inlineStr">
        <is>
          <t>LYCKSELE</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6956-2025</t>
        </is>
      </c>
      <c r="B18176" s="1" t="n">
        <v>45701</v>
      </c>
      <c r="C18176" s="1" t="n">
        <v>45718</v>
      </c>
      <c r="D18176" t="inlineStr">
        <is>
          <t>VÄSTERBOTTENS LÄN</t>
        </is>
      </c>
      <c r="E18176" t="inlineStr">
        <is>
          <t>VILHELMINA</t>
        </is>
      </c>
      <c r="F18176" t="inlineStr">
        <is>
          <t>SCA</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7019-2025</t>
        </is>
      </c>
      <c r="B18177" s="1" t="n">
        <v>45701</v>
      </c>
      <c r="C18177" s="1" t="n">
        <v>45718</v>
      </c>
      <c r="D18177" t="inlineStr">
        <is>
          <t>VÄSTERBOTTENS LÄN</t>
        </is>
      </c>
      <c r="E18177" t="inlineStr">
        <is>
          <t>NORDMALING</t>
        </is>
      </c>
      <c r="G18177" t="n">
        <v>12.5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7028-2025</t>
        </is>
      </c>
      <c r="B18178" s="1" t="n">
        <v>45701</v>
      </c>
      <c r="C18178" s="1" t="n">
        <v>45718</v>
      </c>
      <c r="D18178" t="inlineStr">
        <is>
          <t>VÄSTERBOTTENS LÄN</t>
        </is>
      </c>
      <c r="E18178" t="inlineStr">
        <is>
          <t>SKELLEFTEÅ</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6914-2025</t>
        </is>
      </c>
      <c r="B18179" s="1" t="n">
        <v>45701</v>
      </c>
      <c r="C18179" s="1" t="n">
        <v>45718</v>
      </c>
      <c r="D18179" t="inlineStr">
        <is>
          <t>VÄSTERBOTTENS LÄN</t>
        </is>
      </c>
      <c r="E18179" t="inlineStr">
        <is>
          <t>ROBERTSFORS</t>
        </is>
      </c>
      <c r="G18179" t="n">
        <v>4.8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7025-2025</t>
        </is>
      </c>
      <c r="B18180" s="1" t="n">
        <v>45701</v>
      </c>
      <c r="C18180" s="1" t="n">
        <v>45718</v>
      </c>
      <c r="D18180" t="inlineStr">
        <is>
          <t>VÄSTERBOTTENS LÄN</t>
        </is>
      </c>
      <c r="E18180" t="inlineStr">
        <is>
          <t>SKELLEFTEÅ</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7057-2025</t>
        </is>
      </c>
      <c r="B18181" s="1" t="n">
        <v>45701</v>
      </c>
      <c r="C18181" s="1" t="n">
        <v>45718</v>
      </c>
      <c r="D18181" t="inlineStr">
        <is>
          <t>VÄSTERBOTTENS LÄN</t>
        </is>
      </c>
      <c r="E18181" t="inlineStr">
        <is>
          <t>MALÅ</t>
        </is>
      </c>
      <c r="G18181" t="n">
        <v>7.3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7081-2025</t>
        </is>
      </c>
      <c r="B18182" s="1" t="n">
        <v>45701</v>
      </c>
      <c r="C18182" s="1" t="n">
        <v>45718</v>
      </c>
      <c r="D18182" t="inlineStr">
        <is>
          <t>VÄSTERBOTTENS LÄN</t>
        </is>
      </c>
      <c r="E18182" t="inlineStr">
        <is>
          <t>NORDMALING</t>
        </is>
      </c>
      <c r="F18182" t="inlineStr">
        <is>
          <t>SCA</t>
        </is>
      </c>
      <c r="G18182" t="n">
        <v>9.6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45718</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45718</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45718</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6942-2025</t>
        </is>
      </c>
      <c r="B18186" s="1" t="n">
        <v>45701</v>
      </c>
      <c r="C18186" s="1" t="n">
        <v>45718</v>
      </c>
      <c r="D18186" t="inlineStr">
        <is>
          <t>VÄSTERBOTTENS LÄN</t>
        </is>
      </c>
      <c r="E18186" t="inlineStr">
        <is>
          <t>LYCKSELE</t>
        </is>
      </c>
      <c r="G18186" t="n">
        <v>6.1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6983-2025</t>
        </is>
      </c>
      <c r="B18187" s="1" t="n">
        <v>45701</v>
      </c>
      <c r="C18187" s="1" t="n">
        <v>45718</v>
      </c>
      <c r="D18187" t="inlineStr">
        <is>
          <t>VÄSTERBOTTENS LÄN</t>
        </is>
      </c>
      <c r="E18187" t="inlineStr">
        <is>
          <t>ROBERTSFORS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6994-2025</t>
        </is>
      </c>
      <c r="B18188" s="1" t="n">
        <v>45701</v>
      </c>
      <c r="C18188" s="1" t="n">
        <v>45718</v>
      </c>
      <c r="D18188" t="inlineStr">
        <is>
          <t>VÄSTERBOTTENS LÄN</t>
        </is>
      </c>
      <c r="E18188" t="inlineStr">
        <is>
          <t>ROBERTSFORS</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6998-2025</t>
        </is>
      </c>
      <c r="B18189" s="1" t="n">
        <v>45701</v>
      </c>
      <c r="C18189" s="1" t="n">
        <v>45718</v>
      </c>
      <c r="D18189" t="inlineStr">
        <is>
          <t>VÄSTERBOTTENS LÄN</t>
        </is>
      </c>
      <c r="E18189" t="inlineStr">
        <is>
          <t>BJURHOLM</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7104-2025</t>
        </is>
      </c>
      <c r="B18190" s="1" t="n">
        <v>45701</v>
      </c>
      <c r="C18190" s="1" t="n">
        <v>45718</v>
      </c>
      <c r="D18190" t="inlineStr">
        <is>
          <t>VÄSTERBOTTENS LÄN</t>
        </is>
      </c>
      <c r="E18190" t="inlineStr">
        <is>
          <t>VINDELN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7027-2025</t>
        </is>
      </c>
      <c r="B18191" s="1" t="n">
        <v>45701</v>
      </c>
      <c r="C18191" s="1" t="n">
        <v>45718</v>
      </c>
      <c r="D18191" t="inlineStr">
        <is>
          <t>VÄSTERBOTTENS LÄN</t>
        </is>
      </c>
      <c r="E18191" t="inlineStr">
        <is>
          <t>SKELLEFTEÅ</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7035-2025</t>
        </is>
      </c>
      <c r="B18192" s="1" t="n">
        <v>45701</v>
      </c>
      <c r="C18192" s="1" t="n">
        <v>45718</v>
      </c>
      <c r="D18192" t="inlineStr">
        <is>
          <t>VÄSTERBOTTENS LÄN</t>
        </is>
      </c>
      <c r="E18192" t="inlineStr">
        <is>
          <t>VILHELMINA</t>
        </is>
      </c>
      <c r="F18192" t="inlineStr">
        <is>
          <t>SCA</t>
        </is>
      </c>
      <c r="G18192" t="n">
        <v>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7183-2025</t>
        </is>
      </c>
      <c r="B18193" s="1" t="n">
        <v>45702</v>
      </c>
      <c r="C18193" s="1" t="n">
        <v>45718</v>
      </c>
      <c r="D18193" t="inlineStr">
        <is>
          <t>VÄSTERBOTTENS LÄN</t>
        </is>
      </c>
      <c r="E18193" t="inlineStr">
        <is>
          <t>STORUMAN</t>
        </is>
      </c>
      <c r="F18193" t="inlineStr">
        <is>
          <t>SCA</t>
        </is>
      </c>
      <c r="G18193" t="n">
        <v>9.5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7229-2025</t>
        </is>
      </c>
      <c r="B18194" s="1" t="n">
        <v>45702</v>
      </c>
      <c r="C18194" s="1" t="n">
        <v>45718</v>
      </c>
      <c r="D18194" t="inlineStr">
        <is>
          <t>VÄSTERBOTTENS LÄN</t>
        </is>
      </c>
      <c r="E18194" t="inlineStr">
        <is>
          <t>STORUMAN</t>
        </is>
      </c>
      <c r="G18194" t="n">
        <v>15.2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7220-2025</t>
        </is>
      </c>
      <c r="B18195" s="1" t="n">
        <v>45702</v>
      </c>
      <c r="C18195" s="1" t="n">
        <v>45718</v>
      </c>
      <c r="D18195" t="inlineStr">
        <is>
          <t>VÄSTERBOTTENS LÄN</t>
        </is>
      </c>
      <c r="E18195" t="inlineStr">
        <is>
          <t>NORDMALING</t>
        </is>
      </c>
      <c r="G18195" t="n">
        <v>4.2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7242-2025</t>
        </is>
      </c>
      <c r="B18196" s="1" t="n">
        <v>45702</v>
      </c>
      <c r="C18196" s="1" t="n">
        <v>45718</v>
      </c>
      <c r="D18196" t="inlineStr">
        <is>
          <t>VÄSTERBOTTENS LÄN</t>
        </is>
      </c>
      <c r="E18196" t="inlineStr">
        <is>
          <t>ROBERTSFORS</t>
        </is>
      </c>
      <c r="G18196" t="n">
        <v>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7262-2025</t>
        </is>
      </c>
      <c r="B18197" s="1" t="n">
        <v>45702</v>
      </c>
      <c r="C18197" s="1" t="n">
        <v>45718</v>
      </c>
      <c r="D18197" t="inlineStr">
        <is>
          <t>VÄSTERBOTTENS LÄN</t>
        </is>
      </c>
      <c r="E18197" t="inlineStr">
        <is>
          <t>VILHELMINA</t>
        </is>
      </c>
      <c r="G18197" t="n">
        <v>19.6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7295-2025</t>
        </is>
      </c>
      <c r="B18198" s="1" t="n">
        <v>45702</v>
      </c>
      <c r="C18198" s="1" t="n">
        <v>45718</v>
      </c>
      <c r="D18198" t="inlineStr">
        <is>
          <t>VÄSTERBOTTENS LÄN</t>
        </is>
      </c>
      <c r="E18198" t="inlineStr">
        <is>
          <t>SKELLEFTEÅ</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7213-2025</t>
        </is>
      </c>
      <c r="B18199" s="1" t="n">
        <v>45702</v>
      </c>
      <c r="C18199" s="1" t="n">
        <v>45718</v>
      </c>
      <c r="D18199" t="inlineStr">
        <is>
          <t>VÄSTERBOTTENS LÄN</t>
        </is>
      </c>
      <c r="E18199" t="inlineStr">
        <is>
          <t>UMEÅ</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45718</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7256-2025</t>
        </is>
      </c>
      <c r="B18201" s="1" t="n">
        <v>45702</v>
      </c>
      <c r="C18201" s="1" t="n">
        <v>45718</v>
      </c>
      <c r="D18201" t="inlineStr">
        <is>
          <t>VÄSTERBOTTENS LÄN</t>
        </is>
      </c>
      <c r="E18201" t="inlineStr">
        <is>
          <t>SORSELE</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7397-2025</t>
        </is>
      </c>
      <c r="B18202" s="1" t="n">
        <v>45705</v>
      </c>
      <c r="C18202" s="1" t="n">
        <v>45718</v>
      </c>
      <c r="D18202" t="inlineStr">
        <is>
          <t>VÄSTERBOTTENS LÄN</t>
        </is>
      </c>
      <c r="E18202" t="inlineStr">
        <is>
          <t>DOROTEA</t>
        </is>
      </c>
      <c r="G18202" t="n">
        <v>13.3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7440-2025</t>
        </is>
      </c>
      <c r="B18203" s="1" t="n">
        <v>45705</v>
      </c>
      <c r="C18203" s="1" t="n">
        <v>45718</v>
      </c>
      <c r="D18203" t="inlineStr">
        <is>
          <t>VÄSTERBOTTENS LÄN</t>
        </is>
      </c>
      <c r="E18203" t="inlineStr">
        <is>
          <t>BJURHOLM</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7475-2025</t>
        </is>
      </c>
      <c r="B18204" s="1" t="n">
        <v>45705</v>
      </c>
      <c r="C18204" s="1" t="n">
        <v>45718</v>
      </c>
      <c r="D18204" t="inlineStr">
        <is>
          <t>VÄSTERBOTTENS LÄN</t>
        </is>
      </c>
      <c r="E18204" t="inlineStr">
        <is>
          <t>ÅSELE</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7481-2025</t>
        </is>
      </c>
      <c r="B18205" s="1" t="n">
        <v>45705</v>
      </c>
      <c r="C18205" s="1" t="n">
        <v>45718</v>
      </c>
      <c r="D18205" t="inlineStr">
        <is>
          <t>VÄSTERBOTTENS LÄN</t>
        </is>
      </c>
      <c r="E18205" t="inlineStr">
        <is>
          <t>VILHELMINA</t>
        </is>
      </c>
      <c r="F18205" t="inlineStr">
        <is>
          <t>SCA</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7398-2025</t>
        </is>
      </c>
      <c r="B18206" s="1" t="n">
        <v>45705</v>
      </c>
      <c r="C18206" s="1" t="n">
        <v>45718</v>
      </c>
      <c r="D18206" t="inlineStr">
        <is>
          <t>VÄSTERBOTTENS LÄN</t>
        </is>
      </c>
      <c r="E18206" t="inlineStr">
        <is>
          <t>LYCKSELE</t>
        </is>
      </c>
      <c r="G18206" t="n">
        <v>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7498-2025</t>
        </is>
      </c>
      <c r="B18207" s="1" t="n">
        <v>45705</v>
      </c>
      <c r="C18207" s="1" t="n">
        <v>45718</v>
      </c>
      <c r="D18207" t="inlineStr">
        <is>
          <t>VÄSTERBOTTENS LÄN</t>
        </is>
      </c>
      <c r="E18207" t="inlineStr">
        <is>
          <t>ÅSELE</t>
        </is>
      </c>
      <c r="F18207" t="inlineStr">
        <is>
          <t>Holmen skog AB</t>
        </is>
      </c>
      <c r="G18207" t="n">
        <v>10.1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7577-2025</t>
        </is>
      </c>
      <c r="B18208" s="1" t="n">
        <v>45705</v>
      </c>
      <c r="C18208" s="1" t="n">
        <v>45718</v>
      </c>
      <c r="D18208" t="inlineStr">
        <is>
          <t>VÄSTERBOTTENS LÄN</t>
        </is>
      </c>
      <c r="E18208" t="inlineStr">
        <is>
          <t>ÅSELE</t>
        </is>
      </c>
      <c r="F18208" t="inlineStr">
        <is>
          <t>Holmen skog AB</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7620-2025</t>
        </is>
      </c>
      <c r="B18209" s="1" t="n">
        <v>45705</v>
      </c>
      <c r="C18209" s="1" t="n">
        <v>45718</v>
      </c>
      <c r="D18209" t="inlineStr">
        <is>
          <t>VÄSTERBOTTENS LÄN</t>
        </is>
      </c>
      <c r="E18209" t="inlineStr">
        <is>
          <t>VILHELMINA</t>
        </is>
      </c>
      <c r="F18209" t="inlineStr">
        <is>
          <t>SCA</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7623-2025</t>
        </is>
      </c>
      <c r="B18210" s="1" t="n">
        <v>45705</v>
      </c>
      <c r="C18210" s="1" t="n">
        <v>45718</v>
      </c>
      <c r="D18210" t="inlineStr">
        <is>
          <t>VÄSTERBOTTENS LÄN</t>
        </is>
      </c>
      <c r="E18210" t="inlineStr">
        <is>
          <t>LYCKSELE</t>
        </is>
      </c>
      <c r="G18210" t="n">
        <v>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7446-2025</t>
        </is>
      </c>
      <c r="B18211" s="1" t="n">
        <v>45705</v>
      </c>
      <c r="C18211" s="1" t="n">
        <v>45718</v>
      </c>
      <c r="D18211" t="inlineStr">
        <is>
          <t>VÄSTERBOTTENS LÄN</t>
        </is>
      </c>
      <c r="E18211" t="inlineStr">
        <is>
          <t>STORUMAN</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7499-2025</t>
        </is>
      </c>
      <c r="B18212" s="1" t="n">
        <v>45705</v>
      </c>
      <c r="C18212" s="1" t="n">
        <v>45718</v>
      </c>
      <c r="D18212" t="inlineStr">
        <is>
          <t>VÄSTERBOTTENS LÄN</t>
        </is>
      </c>
      <c r="E18212" t="inlineStr">
        <is>
          <t>LYCKSELE</t>
        </is>
      </c>
      <c r="G18212" t="n">
        <v>5.6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7536-2025</t>
        </is>
      </c>
      <c r="B18213" s="1" t="n">
        <v>45705</v>
      </c>
      <c r="C18213" s="1" t="n">
        <v>45718</v>
      </c>
      <c r="D18213" t="inlineStr">
        <is>
          <t>VÄSTERBOTTENS LÄN</t>
        </is>
      </c>
      <c r="E18213" t="inlineStr">
        <is>
          <t>MALÅ</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7568-2025</t>
        </is>
      </c>
      <c r="B18214" s="1" t="n">
        <v>45705</v>
      </c>
      <c r="C18214" s="1" t="n">
        <v>45718</v>
      </c>
      <c r="D18214" t="inlineStr">
        <is>
          <t>VÄSTERBOTTENS LÄN</t>
        </is>
      </c>
      <c r="E18214" t="inlineStr">
        <is>
          <t>DOROTEA</t>
        </is>
      </c>
      <c r="F18214" t="inlineStr">
        <is>
          <t>SCA</t>
        </is>
      </c>
      <c r="G18214" t="n">
        <v>23.2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7621-2025</t>
        </is>
      </c>
      <c r="B18215" s="1" t="n">
        <v>45705</v>
      </c>
      <c r="C18215" s="1" t="n">
        <v>45718</v>
      </c>
      <c r="D18215" t="inlineStr">
        <is>
          <t>VÄSTERBOTTENS LÄN</t>
        </is>
      </c>
      <c r="E18215" t="inlineStr">
        <is>
          <t>ÅSELE</t>
        </is>
      </c>
      <c r="G18215" t="n">
        <v>5.9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7694-2025</t>
        </is>
      </c>
      <c r="B18216" s="1" t="n">
        <v>45706</v>
      </c>
      <c r="C18216" s="1" t="n">
        <v>45718</v>
      </c>
      <c r="D18216" t="inlineStr">
        <is>
          <t>VÄSTERBOTTENS LÄN</t>
        </is>
      </c>
      <c r="E18216" t="inlineStr">
        <is>
          <t>VINDELN</t>
        </is>
      </c>
      <c r="G18216" t="n">
        <v>20.7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7700-2025</t>
        </is>
      </c>
      <c r="B18217" s="1" t="n">
        <v>45706</v>
      </c>
      <c r="C18217" s="1" t="n">
        <v>45718</v>
      </c>
      <c r="D18217" t="inlineStr">
        <is>
          <t>VÄSTERBOTTENS LÄN</t>
        </is>
      </c>
      <c r="E18217" t="inlineStr">
        <is>
          <t>VINDELN</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7706-2025</t>
        </is>
      </c>
      <c r="B18218" s="1" t="n">
        <v>45706</v>
      </c>
      <c r="C18218" s="1" t="n">
        <v>45718</v>
      </c>
      <c r="D18218" t="inlineStr">
        <is>
          <t>VÄSTERBOTTENS LÄN</t>
        </is>
      </c>
      <c r="E18218" t="inlineStr">
        <is>
          <t>ÅSELE</t>
        </is>
      </c>
      <c r="F18218" t="inlineStr">
        <is>
          <t>Sveaskog</t>
        </is>
      </c>
      <c r="G18218" t="n">
        <v>24.8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7815-2025</t>
        </is>
      </c>
      <c r="B18219" s="1" t="n">
        <v>45706</v>
      </c>
      <c r="C18219" s="1" t="n">
        <v>45718</v>
      </c>
      <c r="D18219" t="inlineStr">
        <is>
          <t>VÄSTERBOTTENS LÄN</t>
        </is>
      </c>
      <c r="E18219" t="inlineStr">
        <is>
          <t>SKELLEFTEÅ</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7692-2025</t>
        </is>
      </c>
      <c r="B18220" s="1" t="n">
        <v>45706</v>
      </c>
      <c r="C18220" s="1" t="n">
        <v>45718</v>
      </c>
      <c r="D18220" t="inlineStr">
        <is>
          <t>VÄSTERBOTTENS LÄN</t>
        </is>
      </c>
      <c r="E18220" t="inlineStr">
        <is>
          <t>VINDELN</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7817-2025</t>
        </is>
      </c>
      <c r="B18221" s="1" t="n">
        <v>45706</v>
      </c>
      <c r="C18221" s="1" t="n">
        <v>45718</v>
      </c>
      <c r="D18221" t="inlineStr">
        <is>
          <t>VÄSTERBOTTENS LÄN</t>
        </is>
      </c>
      <c r="E18221" t="inlineStr">
        <is>
          <t>ÅSELE</t>
        </is>
      </c>
      <c r="F18221" t="inlineStr">
        <is>
          <t>Holmen skog AB</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7693-2025</t>
        </is>
      </c>
      <c r="B18222" s="1" t="n">
        <v>45706</v>
      </c>
      <c r="C18222" s="1" t="n">
        <v>45718</v>
      </c>
      <c r="D18222" t="inlineStr">
        <is>
          <t>VÄSTERBOTTENS LÄN</t>
        </is>
      </c>
      <c r="E18222" t="inlineStr">
        <is>
          <t>UMEÅ</t>
        </is>
      </c>
      <c r="G18222" t="n">
        <v>19.7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45718</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45718</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45718</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7816-2025</t>
        </is>
      </c>
      <c r="B18226" s="1" t="n">
        <v>45706</v>
      </c>
      <c r="C18226" s="1" t="n">
        <v>45718</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45718</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7981-2025</t>
        </is>
      </c>
      <c r="B18228" s="1" t="n">
        <v>45707</v>
      </c>
      <c r="C18228" s="1" t="n">
        <v>45718</v>
      </c>
      <c r="D18228" t="inlineStr">
        <is>
          <t>VÄSTERBOTTENS LÄN</t>
        </is>
      </c>
      <c r="E18228" t="inlineStr">
        <is>
          <t>SKELLEFTEÅ</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8013-2025</t>
        </is>
      </c>
      <c r="B18229" s="1" t="n">
        <v>45707</v>
      </c>
      <c r="C18229" s="1" t="n">
        <v>45718</v>
      </c>
      <c r="D18229" t="inlineStr">
        <is>
          <t>VÄSTERBOTTENS LÄN</t>
        </is>
      </c>
      <c r="E18229" t="inlineStr">
        <is>
          <t>SKELLEFTEÅ</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7991-2025</t>
        </is>
      </c>
      <c r="B18230" s="1" t="n">
        <v>45707</v>
      </c>
      <c r="C18230" s="1" t="n">
        <v>45718</v>
      </c>
      <c r="D18230" t="inlineStr">
        <is>
          <t>VÄSTERBOTTENS LÄN</t>
        </is>
      </c>
      <c r="E18230" t="inlineStr">
        <is>
          <t>SKELLEFTEÅ</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8090-2025</t>
        </is>
      </c>
      <c r="B18231" s="1" t="n">
        <v>45707</v>
      </c>
      <c r="C18231" s="1" t="n">
        <v>45718</v>
      </c>
      <c r="D18231" t="inlineStr">
        <is>
          <t>VÄSTERBOTTENS LÄN</t>
        </is>
      </c>
      <c r="E18231" t="inlineStr">
        <is>
          <t>SKELLEFTEÅ</t>
        </is>
      </c>
      <c r="G18231" t="n">
        <v>9.6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8233-2025</t>
        </is>
      </c>
      <c r="B18232" s="1" t="n">
        <v>45707</v>
      </c>
      <c r="C18232" s="1" t="n">
        <v>45718</v>
      </c>
      <c r="D18232" t="inlineStr">
        <is>
          <t>VÄSTERBOTTENS LÄN</t>
        </is>
      </c>
      <c r="E18232" t="inlineStr">
        <is>
          <t>SORSELE</t>
        </is>
      </c>
      <c r="G18232" t="n">
        <v>36.6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7916-2025</t>
        </is>
      </c>
      <c r="B18233" s="1" t="n">
        <v>45707</v>
      </c>
      <c r="C18233" s="1" t="n">
        <v>45718</v>
      </c>
      <c r="D18233" t="inlineStr">
        <is>
          <t>VÄSTERBOTTENS LÄN</t>
        </is>
      </c>
      <c r="E18233" t="inlineStr">
        <is>
          <t>SKELLEFTEÅ</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7982-2025</t>
        </is>
      </c>
      <c r="B18234" s="1" t="n">
        <v>45707</v>
      </c>
      <c r="C18234" s="1" t="n">
        <v>45718</v>
      </c>
      <c r="D18234" t="inlineStr">
        <is>
          <t>VÄSTERBOTTENS LÄN</t>
        </is>
      </c>
      <c r="E18234" t="inlineStr">
        <is>
          <t>VILHELMINA</t>
        </is>
      </c>
      <c r="G18234" t="n">
        <v>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8010-2025</t>
        </is>
      </c>
      <c r="B18235" s="1" t="n">
        <v>45707</v>
      </c>
      <c r="C18235" s="1" t="n">
        <v>45718</v>
      </c>
      <c r="D18235" t="inlineStr">
        <is>
          <t>VÄSTERBOTTENS LÄN</t>
        </is>
      </c>
      <c r="E18235" t="inlineStr">
        <is>
          <t>SKELLEFTEÅ</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8103-2025</t>
        </is>
      </c>
      <c r="B18236" s="1" t="n">
        <v>45707</v>
      </c>
      <c r="C18236" s="1" t="n">
        <v>45718</v>
      </c>
      <c r="D18236" t="inlineStr">
        <is>
          <t>VÄSTERBOTTENS LÄN</t>
        </is>
      </c>
      <c r="E18236" t="inlineStr">
        <is>
          <t>NORDMALING</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8140-2025</t>
        </is>
      </c>
      <c r="B18237" s="1" t="n">
        <v>45708</v>
      </c>
      <c r="C18237" s="1" t="n">
        <v>45718</v>
      </c>
      <c r="D18237" t="inlineStr">
        <is>
          <t>VÄSTERBOTTENS LÄN</t>
        </is>
      </c>
      <c r="E18237" t="inlineStr">
        <is>
          <t>SKELLEFTEÅ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8144-2025</t>
        </is>
      </c>
      <c r="B18238" s="1" t="n">
        <v>45708</v>
      </c>
      <c r="C18238" s="1" t="n">
        <v>45718</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8159-2025</t>
        </is>
      </c>
      <c r="B18239" s="1" t="n">
        <v>45708</v>
      </c>
      <c r="C18239" s="1" t="n">
        <v>45718</v>
      </c>
      <c r="D18239" t="inlineStr">
        <is>
          <t>VÄSTERBOTTENS LÄN</t>
        </is>
      </c>
      <c r="E18239" t="inlineStr">
        <is>
          <t>NORSJÖ</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8141-2025</t>
        </is>
      </c>
      <c r="B18240" s="1" t="n">
        <v>45708</v>
      </c>
      <c r="C18240" s="1" t="n">
        <v>45718</v>
      </c>
      <c r="D18240" t="inlineStr">
        <is>
          <t>VÄSTERBOTTENS LÄN</t>
        </is>
      </c>
      <c r="E18240" t="inlineStr">
        <is>
          <t>SKELLEFTEÅ</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8238-2025</t>
        </is>
      </c>
      <c r="B18241" s="1" t="n">
        <v>45708</v>
      </c>
      <c r="C18241" s="1" t="n">
        <v>45718</v>
      </c>
      <c r="D18241" t="inlineStr">
        <is>
          <t>VÄSTERBOTTENS LÄN</t>
        </is>
      </c>
      <c r="E18241" t="inlineStr">
        <is>
          <t>ROBERTSFORS</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8184-2025</t>
        </is>
      </c>
      <c r="B18242" s="1" t="n">
        <v>45708</v>
      </c>
      <c r="C18242" s="1" t="n">
        <v>45718</v>
      </c>
      <c r="D18242" t="inlineStr">
        <is>
          <t>VÄSTERBOTTENS LÄN</t>
        </is>
      </c>
      <c r="E18242" t="inlineStr">
        <is>
          <t>UMEÅ</t>
        </is>
      </c>
      <c r="F18242" t="inlineStr">
        <is>
          <t>Holmen skog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8289-2025</t>
        </is>
      </c>
      <c r="B18243" s="1" t="n">
        <v>45708</v>
      </c>
      <c r="C18243" s="1" t="n">
        <v>45718</v>
      </c>
      <c r="D18243" t="inlineStr">
        <is>
          <t>VÄSTERBOTTENS LÄN</t>
        </is>
      </c>
      <c r="E18243" t="inlineStr">
        <is>
          <t>SKELLEFTEÅ</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8301-2025</t>
        </is>
      </c>
      <c r="B18244" s="1" t="n">
        <v>45708</v>
      </c>
      <c r="C18244" s="1" t="n">
        <v>45718</v>
      </c>
      <c r="D18244" t="inlineStr">
        <is>
          <t>VÄSTERBOTTENS LÄN</t>
        </is>
      </c>
      <c r="E18244" t="inlineStr">
        <is>
          <t>SKELLEFTEÅ</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8310-2025</t>
        </is>
      </c>
      <c r="B18245" s="1" t="n">
        <v>45708</v>
      </c>
      <c r="C18245" s="1" t="n">
        <v>45718</v>
      </c>
      <c r="D18245" t="inlineStr">
        <is>
          <t>VÄSTERBOTTENS LÄN</t>
        </is>
      </c>
      <c r="E18245" t="inlineStr">
        <is>
          <t>DOROTEA</t>
        </is>
      </c>
      <c r="F18245" t="inlineStr">
        <is>
          <t>SCA</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8201-2025</t>
        </is>
      </c>
      <c r="B18246" s="1" t="n">
        <v>45708</v>
      </c>
      <c r="C18246" s="1" t="n">
        <v>45718</v>
      </c>
      <c r="D18246" t="inlineStr">
        <is>
          <t>VÄSTERBOTTENS LÄN</t>
        </is>
      </c>
      <c r="E18246" t="inlineStr">
        <is>
          <t>ROBERTSFORS</t>
        </is>
      </c>
      <c r="F18246" t="inlineStr">
        <is>
          <t>Holmen skog AB</t>
        </is>
      </c>
      <c r="G18246" t="n">
        <v>6.9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8240-2025</t>
        </is>
      </c>
      <c r="B18247" s="1" t="n">
        <v>45708</v>
      </c>
      <c r="C18247" s="1" t="n">
        <v>45718</v>
      </c>
      <c r="D18247" t="inlineStr">
        <is>
          <t>VÄSTERBOTTENS LÄN</t>
        </is>
      </c>
      <c r="E18247" t="inlineStr">
        <is>
          <t>SKELLEFTEÅ</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8241-2025</t>
        </is>
      </c>
      <c r="B18248" s="1" t="n">
        <v>45708</v>
      </c>
      <c r="C18248" s="1" t="n">
        <v>45718</v>
      </c>
      <c r="D18248" t="inlineStr">
        <is>
          <t>VÄSTERBOTTENS LÄN</t>
        </is>
      </c>
      <c r="E18248" t="inlineStr">
        <is>
          <t>SKELLEFTEÅ</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8256-2025</t>
        </is>
      </c>
      <c r="B18249" s="1" t="n">
        <v>45708</v>
      </c>
      <c r="C18249" s="1" t="n">
        <v>45718</v>
      </c>
      <c r="D18249" t="inlineStr">
        <is>
          <t>VÄSTERBOTTENS LÄN</t>
        </is>
      </c>
      <c r="E18249" t="inlineStr">
        <is>
          <t>ROBERTSFORS</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8280-2025</t>
        </is>
      </c>
      <c r="B18250" s="1" t="n">
        <v>45708</v>
      </c>
      <c r="C18250" s="1" t="n">
        <v>45718</v>
      </c>
      <c r="D18250" t="inlineStr">
        <is>
          <t>VÄSTERBOTTENS LÄN</t>
        </is>
      </c>
      <c r="E18250" t="inlineStr">
        <is>
          <t>SKELLEFTEÅ</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8309-2025</t>
        </is>
      </c>
      <c r="B18251" s="1" t="n">
        <v>45708</v>
      </c>
      <c r="C18251" s="1" t="n">
        <v>45718</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8313-2025</t>
        </is>
      </c>
      <c r="B18252" s="1" t="n">
        <v>45708</v>
      </c>
      <c r="C18252" s="1" t="n">
        <v>45718</v>
      </c>
      <c r="D18252" t="inlineStr">
        <is>
          <t>VÄSTERBOTTENS LÄN</t>
        </is>
      </c>
      <c r="E18252" t="inlineStr">
        <is>
          <t>LYCKSELE</t>
        </is>
      </c>
      <c r="F18252" t="inlineStr">
        <is>
          <t>SCA</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8317-2025</t>
        </is>
      </c>
      <c r="B18253" s="1" t="n">
        <v>45708</v>
      </c>
      <c r="C18253" s="1" t="n">
        <v>45718</v>
      </c>
      <c r="D18253" t="inlineStr">
        <is>
          <t>VÄSTERBOTTENS LÄN</t>
        </is>
      </c>
      <c r="E18253" t="inlineStr">
        <is>
          <t>UMEÅ</t>
        </is>
      </c>
      <c r="F18253" t="inlineStr">
        <is>
          <t>Holmen skog AB</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8221-2025</t>
        </is>
      </c>
      <c r="B18254" s="1" t="n">
        <v>45708</v>
      </c>
      <c r="C18254" s="1" t="n">
        <v>45718</v>
      </c>
      <c r="D18254" t="inlineStr">
        <is>
          <t>VÄSTERBOTTENS LÄN</t>
        </is>
      </c>
      <c r="E18254" t="inlineStr">
        <is>
          <t>SKELLEFTEÅ</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8278-2025</t>
        </is>
      </c>
      <c r="B18255" s="1" t="n">
        <v>45708</v>
      </c>
      <c r="C18255" s="1" t="n">
        <v>45718</v>
      </c>
      <c r="D18255" t="inlineStr">
        <is>
          <t>VÄSTERBOTTENS LÄN</t>
        </is>
      </c>
      <c r="E18255" t="inlineStr">
        <is>
          <t>LYCKSELE</t>
        </is>
      </c>
      <c r="F18255" t="inlineStr">
        <is>
          <t>SCA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8412-2025</t>
        </is>
      </c>
      <c r="B18256" s="1" t="n">
        <v>45709</v>
      </c>
      <c r="C18256" s="1" t="n">
        <v>45718</v>
      </c>
      <c r="D18256" t="inlineStr">
        <is>
          <t>VÄSTERBOTTENS LÄN</t>
        </is>
      </c>
      <c r="E18256" t="inlineStr">
        <is>
          <t>SKELLEFTEÅ</t>
        </is>
      </c>
      <c r="F18256" t="inlineStr">
        <is>
          <t>Holmen skog AB</t>
        </is>
      </c>
      <c r="G18256" t="n">
        <v>5.8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8465-2025</t>
        </is>
      </c>
      <c r="B18257" s="1" t="n">
        <v>45709</v>
      </c>
      <c r="C18257" s="1" t="n">
        <v>45718</v>
      </c>
      <c r="D18257" t="inlineStr">
        <is>
          <t>VÄSTERBOTTENS LÄN</t>
        </is>
      </c>
      <c r="E18257" t="inlineStr">
        <is>
          <t>DOROTEA</t>
        </is>
      </c>
      <c r="F18257" t="inlineStr">
        <is>
          <t>SCA</t>
        </is>
      </c>
      <c r="G18257" t="n">
        <v>8.199999999999999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8510-2025</t>
        </is>
      </c>
      <c r="B18258" s="1" t="n">
        <v>45709</v>
      </c>
      <c r="C18258" s="1" t="n">
        <v>45718</v>
      </c>
      <c r="D18258" t="inlineStr">
        <is>
          <t>VÄSTERBOTTENS LÄN</t>
        </is>
      </c>
      <c r="E18258" t="inlineStr">
        <is>
          <t>VINDELN</t>
        </is>
      </c>
      <c r="G18258" t="n">
        <v>11.2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8397-2025</t>
        </is>
      </c>
      <c r="B18259" s="1" t="n">
        <v>45709</v>
      </c>
      <c r="C18259" s="1" t="n">
        <v>45718</v>
      </c>
      <c r="D18259" t="inlineStr">
        <is>
          <t>VÄSTERBOTTENS LÄN</t>
        </is>
      </c>
      <c r="E18259" t="inlineStr">
        <is>
          <t>SKELLEFTEÅ</t>
        </is>
      </c>
      <c r="G18259" t="n">
        <v>16.6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8539-2025</t>
        </is>
      </c>
      <c r="B18260" s="1" t="n">
        <v>45709</v>
      </c>
      <c r="C18260" s="1" t="n">
        <v>45718</v>
      </c>
      <c r="D18260" t="inlineStr">
        <is>
          <t>VÄSTERBOTTENS LÄN</t>
        </is>
      </c>
      <c r="E18260" t="inlineStr">
        <is>
          <t>UMEÅ</t>
        </is>
      </c>
      <c r="G18260" t="n">
        <v>6.6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8584-2025</t>
        </is>
      </c>
      <c r="B18261" s="1" t="n">
        <v>45709</v>
      </c>
      <c r="C18261" s="1" t="n">
        <v>45718</v>
      </c>
      <c r="D18261" t="inlineStr">
        <is>
          <t>VÄSTERBOTTENS LÄN</t>
        </is>
      </c>
      <c r="E18261" t="inlineStr">
        <is>
          <t>UMEÅ</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8596-2025</t>
        </is>
      </c>
      <c r="B18262" s="1" t="n">
        <v>45709</v>
      </c>
      <c r="C18262" s="1" t="n">
        <v>45718</v>
      </c>
      <c r="D18262" t="inlineStr">
        <is>
          <t>VÄSTERBOTTENS LÄN</t>
        </is>
      </c>
      <c r="E18262" t="inlineStr">
        <is>
          <t>LYCKSELE</t>
        </is>
      </c>
      <c r="G18262" t="n">
        <v>10.5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8600-2025</t>
        </is>
      </c>
      <c r="B18263" s="1" t="n">
        <v>45709</v>
      </c>
      <c r="C18263" s="1" t="n">
        <v>45718</v>
      </c>
      <c r="D18263" t="inlineStr">
        <is>
          <t>VÄSTERBOTTENS LÄN</t>
        </is>
      </c>
      <c r="E18263" t="inlineStr">
        <is>
          <t>LYCKSELE</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8441-2025</t>
        </is>
      </c>
      <c r="B18264" s="1" t="n">
        <v>45709</v>
      </c>
      <c r="C18264" s="1" t="n">
        <v>45718</v>
      </c>
      <c r="D18264" t="inlineStr">
        <is>
          <t>VÄSTERBOTTENS LÄN</t>
        </is>
      </c>
      <c r="E18264" t="inlineStr">
        <is>
          <t>MALÅ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8391-2025</t>
        </is>
      </c>
      <c r="B18265" s="1" t="n">
        <v>45709</v>
      </c>
      <c r="C18265" s="1" t="n">
        <v>45718</v>
      </c>
      <c r="D18265" t="inlineStr">
        <is>
          <t>VÄSTERBOTTENS LÄN</t>
        </is>
      </c>
      <c r="E18265" t="inlineStr">
        <is>
          <t>ÅSELE</t>
        </is>
      </c>
      <c r="F18265" t="inlineStr">
        <is>
          <t>SCA</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8427-2025</t>
        </is>
      </c>
      <c r="B18266" s="1" t="n">
        <v>45709</v>
      </c>
      <c r="C18266" s="1" t="n">
        <v>45718</v>
      </c>
      <c r="D18266" t="inlineStr">
        <is>
          <t>VÄSTERBOTTENS LÄN</t>
        </is>
      </c>
      <c r="E18266" t="inlineStr">
        <is>
          <t>SKELLEFTEÅ</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8472-2025</t>
        </is>
      </c>
      <c r="B18267" s="1" t="n">
        <v>45709</v>
      </c>
      <c r="C18267" s="1" t="n">
        <v>45718</v>
      </c>
      <c r="D18267" t="inlineStr">
        <is>
          <t>VÄSTERBOTTENS LÄN</t>
        </is>
      </c>
      <c r="E18267" t="inlineStr">
        <is>
          <t>SORSELE</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8578-2025</t>
        </is>
      </c>
      <c r="B18268" s="1" t="n">
        <v>45709</v>
      </c>
      <c r="C18268" s="1" t="n">
        <v>45718</v>
      </c>
      <c r="D18268" t="inlineStr">
        <is>
          <t>VÄSTERBOTTENS LÄN</t>
        </is>
      </c>
      <c r="E18268" t="inlineStr">
        <is>
          <t>VILHELMINA</t>
        </is>
      </c>
      <c r="G18268" t="n">
        <v>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8586-2025</t>
        </is>
      </c>
      <c r="B18269" s="1" t="n">
        <v>45709</v>
      </c>
      <c r="C18269" s="1" t="n">
        <v>45718</v>
      </c>
      <c r="D18269" t="inlineStr">
        <is>
          <t>VÄSTERBOTTENS LÄN</t>
        </is>
      </c>
      <c r="E18269" t="inlineStr">
        <is>
          <t>UMEÅ</t>
        </is>
      </c>
      <c r="G18269" t="n">
        <v>0.3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8566-2025</t>
        </is>
      </c>
      <c r="B18270" s="1" t="n">
        <v>45709</v>
      </c>
      <c r="C18270" s="1" t="n">
        <v>45718</v>
      </c>
      <c r="D18270" t="inlineStr">
        <is>
          <t>VÄSTERBOTTENS LÄN</t>
        </is>
      </c>
      <c r="E18270" t="inlineStr">
        <is>
          <t>VILHELMINA</t>
        </is>
      </c>
      <c r="G18270" t="n">
        <v>10.5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8575-2025</t>
        </is>
      </c>
      <c r="B18271" s="1" t="n">
        <v>45709</v>
      </c>
      <c r="C18271" s="1" t="n">
        <v>45718</v>
      </c>
      <c r="D18271" t="inlineStr">
        <is>
          <t>VÄSTERBOTTENS LÄN</t>
        </is>
      </c>
      <c r="E18271" t="inlineStr">
        <is>
          <t>UMEÅ</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8583-2025</t>
        </is>
      </c>
      <c r="B18272" s="1" t="n">
        <v>45709</v>
      </c>
      <c r="C18272" s="1" t="n">
        <v>45718</v>
      </c>
      <c r="D18272" t="inlineStr">
        <is>
          <t>VÄSTERBOTTENS LÄN</t>
        </is>
      </c>
      <c r="E18272" t="inlineStr">
        <is>
          <t>UMEÅ</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8599-2025</t>
        </is>
      </c>
      <c r="B18273" s="1" t="n">
        <v>45709</v>
      </c>
      <c r="C18273" s="1" t="n">
        <v>45718</v>
      </c>
      <c r="D18273" t="inlineStr">
        <is>
          <t>VÄSTERBOTTENS LÄN</t>
        </is>
      </c>
      <c r="E18273" t="inlineStr">
        <is>
          <t>LYCKSELE</t>
        </is>
      </c>
      <c r="G18273" t="n">
        <v>15.5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8442-2025</t>
        </is>
      </c>
      <c r="B18274" s="1" t="n">
        <v>45709</v>
      </c>
      <c r="C18274" s="1" t="n">
        <v>45718</v>
      </c>
      <c r="D18274" t="inlineStr">
        <is>
          <t>VÄSTERBOTTENS LÄN</t>
        </is>
      </c>
      <c r="E18274" t="inlineStr">
        <is>
          <t>SKELLEFTEÅ</t>
        </is>
      </c>
      <c r="G18274" t="n">
        <v>4.7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8508-2025</t>
        </is>
      </c>
      <c r="B18275" s="1" t="n">
        <v>45709</v>
      </c>
      <c r="C18275" s="1" t="n">
        <v>45718</v>
      </c>
      <c r="D18275" t="inlineStr">
        <is>
          <t>VÄSTERBOTTENS LÄN</t>
        </is>
      </c>
      <c r="E18275" t="inlineStr">
        <is>
          <t>SORSELE</t>
        </is>
      </c>
      <c r="F18275" t="inlineStr">
        <is>
          <t>SCA</t>
        </is>
      </c>
      <c r="G18275" t="n">
        <v>4.8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8536-2025</t>
        </is>
      </c>
      <c r="B18276" s="1" t="n">
        <v>45709</v>
      </c>
      <c r="C18276" s="1" t="n">
        <v>45718</v>
      </c>
      <c r="D18276" t="inlineStr">
        <is>
          <t>VÄSTERBOTTENS LÄN</t>
        </is>
      </c>
      <c r="E18276" t="inlineStr">
        <is>
          <t>VINDELN</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8556-2025</t>
        </is>
      </c>
      <c r="B18277" s="1" t="n">
        <v>45709</v>
      </c>
      <c r="C18277" s="1" t="n">
        <v>45718</v>
      </c>
      <c r="D18277" t="inlineStr">
        <is>
          <t>VÄSTERBOTTENS LÄN</t>
        </is>
      </c>
      <c r="E18277" t="inlineStr">
        <is>
          <t>VILHELMINA</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8577-2025</t>
        </is>
      </c>
      <c r="B18278" s="1" t="n">
        <v>45709</v>
      </c>
      <c r="C18278" s="1" t="n">
        <v>45718</v>
      </c>
      <c r="D18278" t="inlineStr">
        <is>
          <t>VÄSTERBOTTENS LÄN</t>
        </is>
      </c>
      <c r="E18278" t="inlineStr">
        <is>
          <t>SKELLEFTEÅ</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8581-2025</t>
        </is>
      </c>
      <c r="B18279" s="1" t="n">
        <v>45709</v>
      </c>
      <c r="C18279" s="1" t="n">
        <v>45718</v>
      </c>
      <c r="D18279" t="inlineStr">
        <is>
          <t>VÄSTERBOTTENS LÄN</t>
        </is>
      </c>
      <c r="E18279" t="inlineStr">
        <is>
          <t>UMEÅ</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8585-2025</t>
        </is>
      </c>
      <c r="B18280" s="1" t="n">
        <v>45709</v>
      </c>
      <c r="C18280" s="1" t="n">
        <v>45718</v>
      </c>
      <c r="D18280" t="inlineStr">
        <is>
          <t>VÄSTERBOTTENS LÄN</t>
        </is>
      </c>
      <c r="E18280" t="inlineStr">
        <is>
          <t>VILHELMINA</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45718</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8644-2025</t>
        </is>
      </c>
      <c r="B18282" s="1" t="n">
        <v>45712</v>
      </c>
      <c r="C18282" s="1" t="n">
        <v>45718</v>
      </c>
      <c r="D18282" t="inlineStr">
        <is>
          <t>VÄSTERBOTTENS LÄN</t>
        </is>
      </c>
      <c r="E18282" t="inlineStr">
        <is>
          <t>SKELLEFTEÅ</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8658-2025</t>
        </is>
      </c>
      <c r="B18283" s="1" t="n">
        <v>45712</v>
      </c>
      <c r="C18283" s="1" t="n">
        <v>45718</v>
      </c>
      <c r="D18283" t="inlineStr">
        <is>
          <t>VÄSTERBOTTENS LÄN</t>
        </is>
      </c>
      <c r="E18283" t="inlineStr">
        <is>
          <t>SKELLEFTEÅ</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8663-2025</t>
        </is>
      </c>
      <c r="B18284" s="1" t="n">
        <v>45712</v>
      </c>
      <c r="C18284" s="1" t="n">
        <v>45718</v>
      </c>
      <c r="D18284" t="inlineStr">
        <is>
          <t>VÄSTERBOTTENS LÄN</t>
        </is>
      </c>
      <c r="E18284" t="inlineStr">
        <is>
          <t>BJURHOLM</t>
        </is>
      </c>
      <c r="F18284" t="inlineStr">
        <is>
          <t>Holmen skog AB</t>
        </is>
      </c>
      <c r="G18284" t="n">
        <v>5.2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8681-2025</t>
        </is>
      </c>
      <c r="B18285" s="1" t="n">
        <v>45712</v>
      </c>
      <c r="C18285" s="1" t="n">
        <v>45718</v>
      </c>
      <c r="D18285" t="inlineStr">
        <is>
          <t>VÄSTERBOTTENS LÄN</t>
        </is>
      </c>
      <c r="E18285" t="inlineStr">
        <is>
          <t>ROBERTSFORS</t>
        </is>
      </c>
      <c r="G18285" t="n">
        <v>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8689-2025</t>
        </is>
      </c>
      <c r="B18286" s="1" t="n">
        <v>45712</v>
      </c>
      <c r="C18286" s="1" t="n">
        <v>45718</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8706-2025</t>
        </is>
      </c>
      <c r="B18287" s="1" t="n">
        <v>45712</v>
      </c>
      <c r="C18287" s="1" t="n">
        <v>45718</v>
      </c>
      <c r="D18287" t="inlineStr">
        <is>
          <t>VÄSTERBOTTENS LÄN</t>
        </is>
      </c>
      <c r="E18287" t="inlineStr">
        <is>
          <t>STORUMAN</t>
        </is>
      </c>
      <c r="F18287" t="inlineStr">
        <is>
          <t>SCA</t>
        </is>
      </c>
      <c r="G18287" t="n">
        <v>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8709-2025</t>
        </is>
      </c>
      <c r="B18288" s="1" t="n">
        <v>45712</v>
      </c>
      <c r="C18288" s="1" t="n">
        <v>45718</v>
      </c>
      <c r="D18288" t="inlineStr">
        <is>
          <t>VÄSTERBOTTENS LÄN</t>
        </is>
      </c>
      <c r="E18288" t="inlineStr">
        <is>
          <t>DOROTEA</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8718-2025</t>
        </is>
      </c>
      <c r="B18289" s="1" t="n">
        <v>45712</v>
      </c>
      <c r="C18289" s="1" t="n">
        <v>45718</v>
      </c>
      <c r="D18289" t="inlineStr">
        <is>
          <t>VÄSTERBOTTENS LÄN</t>
        </is>
      </c>
      <c r="E18289" t="inlineStr">
        <is>
          <t>VILHELMINA</t>
        </is>
      </c>
      <c r="G18289" t="n">
        <v>21.3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8722-2025</t>
        </is>
      </c>
      <c r="B18290" s="1" t="n">
        <v>45712</v>
      </c>
      <c r="C18290" s="1" t="n">
        <v>45718</v>
      </c>
      <c r="D18290" t="inlineStr">
        <is>
          <t>VÄSTERBOTTENS LÄN</t>
        </is>
      </c>
      <c r="E18290" t="inlineStr">
        <is>
          <t>ÅSELE</t>
        </is>
      </c>
      <c r="F18290" t="inlineStr">
        <is>
          <t>SCA</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8753-2025</t>
        </is>
      </c>
      <c r="B18291" s="1" t="n">
        <v>45712</v>
      </c>
      <c r="C18291" s="1" t="n">
        <v>45718</v>
      </c>
      <c r="D18291" t="inlineStr">
        <is>
          <t>VÄSTERBOTTENS LÄN</t>
        </is>
      </c>
      <c r="E18291" t="inlineStr">
        <is>
          <t>ROBERTSFORS</t>
        </is>
      </c>
      <c r="F18291" t="inlineStr">
        <is>
          <t>Kommuner</t>
        </is>
      </c>
      <c r="G18291" t="n">
        <v>8.1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8686-2025</t>
        </is>
      </c>
      <c r="B18292" s="1" t="n">
        <v>45712</v>
      </c>
      <c r="C18292" s="1" t="n">
        <v>45718</v>
      </c>
      <c r="D18292" t="inlineStr">
        <is>
          <t>VÄSTERBOTTENS LÄN</t>
        </is>
      </c>
      <c r="E18292" t="inlineStr">
        <is>
          <t>ROBERTSFORS</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8723-2025</t>
        </is>
      </c>
      <c r="B18293" s="1" t="n">
        <v>45712</v>
      </c>
      <c r="C18293" s="1" t="n">
        <v>45718</v>
      </c>
      <c r="D18293" t="inlineStr">
        <is>
          <t>VÄSTERBOTTENS LÄN</t>
        </is>
      </c>
      <c r="E18293" t="inlineStr">
        <is>
          <t>ÅSELE</t>
        </is>
      </c>
      <c r="F18293" t="inlineStr">
        <is>
          <t>SCA</t>
        </is>
      </c>
      <c r="G18293" t="n">
        <v>6.5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8820-2025</t>
        </is>
      </c>
      <c r="B18294" s="1" t="n">
        <v>45712</v>
      </c>
      <c r="C18294" s="1" t="n">
        <v>45718</v>
      </c>
      <c r="D18294" t="inlineStr">
        <is>
          <t>VÄSTERBOTTENS LÄN</t>
        </is>
      </c>
      <c r="E18294" t="inlineStr">
        <is>
          <t>SKELLEFTEÅ</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8759-2025</t>
        </is>
      </c>
      <c r="B18295" s="1" t="n">
        <v>45712</v>
      </c>
      <c r="C18295" s="1" t="n">
        <v>45718</v>
      </c>
      <c r="D18295" t="inlineStr">
        <is>
          <t>VÄSTERBOTTENS LÄN</t>
        </is>
      </c>
      <c r="E18295" t="inlineStr">
        <is>
          <t>NORDMALING</t>
        </is>
      </c>
      <c r="G18295" t="n">
        <v>11.1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8771-2025</t>
        </is>
      </c>
      <c r="B18296" s="1" t="n">
        <v>45712</v>
      </c>
      <c r="C18296" s="1" t="n">
        <v>45718</v>
      </c>
      <c r="D18296" t="inlineStr">
        <is>
          <t>VÄSTERBOTTENS LÄN</t>
        </is>
      </c>
      <c r="E18296" t="inlineStr">
        <is>
          <t>UMEÅ</t>
        </is>
      </c>
      <c r="G18296" t="n">
        <v>6.5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8801-2025</t>
        </is>
      </c>
      <c r="B18297" s="1" t="n">
        <v>45712</v>
      </c>
      <c r="C18297" s="1" t="n">
        <v>45718</v>
      </c>
      <c r="D18297" t="inlineStr">
        <is>
          <t>VÄSTERBOTTENS LÄN</t>
        </is>
      </c>
      <c r="E18297" t="inlineStr">
        <is>
          <t>SKELLEFTEÅ</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8821-2025</t>
        </is>
      </c>
      <c r="B18298" s="1" t="n">
        <v>45712</v>
      </c>
      <c r="C18298" s="1" t="n">
        <v>45718</v>
      </c>
      <c r="D18298" t="inlineStr">
        <is>
          <t>VÄSTERBOTTENS LÄN</t>
        </is>
      </c>
      <c r="E18298" t="inlineStr">
        <is>
          <t>SKELLEFTEÅ</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8647-2025</t>
        </is>
      </c>
      <c r="B18299" s="1" t="n">
        <v>45712</v>
      </c>
      <c r="C18299" s="1" t="n">
        <v>45718</v>
      </c>
      <c r="D18299" t="inlineStr">
        <is>
          <t>VÄSTERBOTTENS LÄN</t>
        </is>
      </c>
      <c r="E18299" t="inlineStr">
        <is>
          <t>DOROTEA</t>
        </is>
      </c>
      <c r="F18299" t="inlineStr">
        <is>
          <t>SCA</t>
        </is>
      </c>
      <c r="G18299" t="n">
        <v>14.3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8661-2025</t>
        </is>
      </c>
      <c r="B18300" s="1" t="n">
        <v>45712</v>
      </c>
      <c r="C18300" s="1" t="n">
        <v>45718</v>
      </c>
      <c r="D18300" t="inlineStr">
        <is>
          <t>VÄSTERBOTTENS LÄN</t>
        </is>
      </c>
      <c r="E18300" t="inlineStr">
        <is>
          <t>ÅSELE</t>
        </is>
      </c>
      <c r="F18300" t="inlineStr">
        <is>
          <t>Naturvårdsverket</t>
        </is>
      </c>
      <c r="G18300" t="n">
        <v>4.2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8669-2025</t>
        </is>
      </c>
      <c r="B18301" s="1" t="n">
        <v>45712</v>
      </c>
      <c r="C18301" s="1" t="n">
        <v>45718</v>
      </c>
      <c r="D18301" t="inlineStr">
        <is>
          <t>VÄSTERBOTTENS LÄN</t>
        </is>
      </c>
      <c r="E18301" t="inlineStr">
        <is>
          <t>SKELLEFTEÅ</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8724-2025</t>
        </is>
      </c>
      <c r="B18302" s="1" t="n">
        <v>45712</v>
      </c>
      <c r="C18302" s="1" t="n">
        <v>45718</v>
      </c>
      <c r="D18302" t="inlineStr">
        <is>
          <t>VÄSTERBOTTENS LÄN</t>
        </is>
      </c>
      <c r="E18302" t="inlineStr">
        <is>
          <t>ÅSELE</t>
        </is>
      </c>
      <c r="F18302" t="inlineStr">
        <is>
          <t>SCA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8748-2025</t>
        </is>
      </c>
      <c r="B18303" s="1" t="n">
        <v>45712</v>
      </c>
      <c r="C18303" s="1" t="n">
        <v>45718</v>
      </c>
      <c r="D18303" t="inlineStr">
        <is>
          <t>VÄSTERBOTTENS LÄN</t>
        </is>
      </c>
      <c r="E18303" t="inlineStr">
        <is>
          <t>LYCKSELE</t>
        </is>
      </c>
      <c r="G18303" t="n">
        <v>3.7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8839-2025</t>
        </is>
      </c>
      <c r="B18304" s="1" t="n">
        <v>45713</v>
      </c>
      <c r="C18304" s="1" t="n">
        <v>45718</v>
      </c>
      <c r="D18304" t="inlineStr">
        <is>
          <t>VÄSTERBOTTENS LÄN</t>
        </is>
      </c>
      <c r="E18304" t="inlineStr">
        <is>
          <t>SKELLEFTEÅ</t>
        </is>
      </c>
      <c r="G18304" t="n">
        <v>0.3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8855-2025</t>
        </is>
      </c>
      <c r="B18305" s="1" t="n">
        <v>45713</v>
      </c>
      <c r="C18305" s="1" t="n">
        <v>45718</v>
      </c>
      <c r="D18305" t="inlineStr">
        <is>
          <t>VÄSTERBOTTENS LÄN</t>
        </is>
      </c>
      <c r="E18305" t="inlineStr">
        <is>
          <t>ÅSELE</t>
        </is>
      </c>
      <c r="G18305" t="n">
        <v>23.5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8887-2025</t>
        </is>
      </c>
      <c r="B18306" s="1" t="n">
        <v>45713</v>
      </c>
      <c r="C18306" s="1" t="n">
        <v>45718</v>
      </c>
      <c r="D18306" t="inlineStr">
        <is>
          <t>VÄSTERBOTTENS LÄN</t>
        </is>
      </c>
      <c r="E18306" t="inlineStr">
        <is>
          <t>SKELLEFTEÅ</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8921-2025</t>
        </is>
      </c>
      <c r="B18307" s="1" t="n">
        <v>45713</v>
      </c>
      <c r="C18307" s="1" t="n">
        <v>45718</v>
      </c>
      <c r="D18307" t="inlineStr">
        <is>
          <t>VÄSTERBOTTENS LÄN</t>
        </is>
      </c>
      <c r="E18307" t="inlineStr">
        <is>
          <t>UMEÅ</t>
        </is>
      </c>
      <c r="G18307" t="n">
        <v>4.8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8937-2025</t>
        </is>
      </c>
      <c r="B18308" s="1" t="n">
        <v>45713</v>
      </c>
      <c r="C18308" s="1" t="n">
        <v>45718</v>
      </c>
      <c r="D18308" t="inlineStr">
        <is>
          <t>VÄSTERBOTTENS LÄN</t>
        </is>
      </c>
      <c r="E18308" t="inlineStr">
        <is>
          <t>VÄNNÄS</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8941-2025</t>
        </is>
      </c>
      <c r="B18309" s="1" t="n">
        <v>45713</v>
      </c>
      <c r="C18309" s="1" t="n">
        <v>45718</v>
      </c>
      <c r="D18309" t="inlineStr">
        <is>
          <t>VÄSTERBOTTENS LÄN</t>
        </is>
      </c>
      <c r="E18309" t="inlineStr">
        <is>
          <t>LYCKSELE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8980-2025</t>
        </is>
      </c>
      <c r="B18310" s="1" t="n">
        <v>45713</v>
      </c>
      <c r="C18310" s="1" t="n">
        <v>45718</v>
      </c>
      <c r="D18310" t="inlineStr">
        <is>
          <t>VÄSTERBOTTENS LÄN</t>
        </is>
      </c>
      <c r="E18310" t="inlineStr">
        <is>
          <t>SORSELE</t>
        </is>
      </c>
      <c r="G18310" t="n">
        <v>4.5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8927-2025</t>
        </is>
      </c>
      <c r="B18311" s="1" t="n">
        <v>45713</v>
      </c>
      <c r="C18311" s="1" t="n">
        <v>45718</v>
      </c>
      <c r="D18311" t="inlineStr">
        <is>
          <t>VÄSTERBOTTENS LÄN</t>
        </is>
      </c>
      <c r="E18311" t="inlineStr">
        <is>
          <t>SKELLEFTEÅ</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8934-2025</t>
        </is>
      </c>
      <c r="B18312" s="1" t="n">
        <v>45713</v>
      </c>
      <c r="C18312" s="1" t="n">
        <v>45718</v>
      </c>
      <c r="D18312" t="inlineStr">
        <is>
          <t>VÄSTERBOTTENS LÄN</t>
        </is>
      </c>
      <c r="E18312" t="inlineStr">
        <is>
          <t>VILHELMINA</t>
        </is>
      </c>
      <c r="F18312" t="inlineStr">
        <is>
          <t>SCA</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8939-2025</t>
        </is>
      </c>
      <c r="B18313" s="1" t="n">
        <v>45713</v>
      </c>
      <c r="C18313" s="1" t="n">
        <v>45718</v>
      </c>
      <c r="D18313" t="inlineStr">
        <is>
          <t>VÄSTERBOTTENS LÄN</t>
        </is>
      </c>
      <c r="E18313" t="inlineStr">
        <is>
          <t>VÄNNÄS</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8964-2025</t>
        </is>
      </c>
      <c r="B18314" s="1" t="n">
        <v>45713</v>
      </c>
      <c r="C18314" s="1" t="n">
        <v>45718</v>
      </c>
      <c r="D18314" t="inlineStr">
        <is>
          <t>VÄSTERBOTTENS LÄN</t>
        </is>
      </c>
      <c r="E18314" t="inlineStr">
        <is>
          <t>ÅSELE</t>
        </is>
      </c>
      <c r="F18314" t="inlineStr">
        <is>
          <t>SCA</t>
        </is>
      </c>
      <c r="G18314" t="n">
        <v>20.5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8978-2025</t>
        </is>
      </c>
      <c r="B18315" s="1" t="n">
        <v>45713</v>
      </c>
      <c r="C18315" s="1" t="n">
        <v>45718</v>
      </c>
      <c r="D18315" t="inlineStr">
        <is>
          <t>VÄSTERBOTTENS LÄN</t>
        </is>
      </c>
      <c r="E18315" t="inlineStr">
        <is>
          <t>SORSELE</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8915-2025</t>
        </is>
      </c>
      <c r="B18316" s="1" t="n">
        <v>45713</v>
      </c>
      <c r="C18316" s="1" t="n">
        <v>45718</v>
      </c>
      <c r="D18316" t="inlineStr">
        <is>
          <t>VÄSTERBOTTENS LÄN</t>
        </is>
      </c>
      <c r="E18316" t="inlineStr">
        <is>
          <t>LYCKSELE</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8935-2025</t>
        </is>
      </c>
      <c r="B18317" s="1" t="n">
        <v>45713</v>
      </c>
      <c r="C18317" s="1" t="n">
        <v>45718</v>
      </c>
      <c r="D18317" t="inlineStr">
        <is>
          <t>VÄSTERBOTTENS LÄN</t>
        </is>
      </c>
      <c r="E18317" t="inlineStr">
        <is>
          <t>VÄNNÄS</t>
        </is>
      </c>
      <c r="G18317" t="n">
        <v>0.3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8940-2025</t>
        </is>
      </c>
      <c r="B18318" s="1" t="n">
        <v>45713</v>
      </c>
      <c r="C18318" s="1" t="n">
        <v>45718</v>
      </c>
      <c r="D18318" t="inlineStr">
        <is>
          <t>VÄSTERBOTTENS LÄN</t>
        </is>
      </c>
      <c r="E18318" t="inlineStr">
        <is>
          <t>VÄNNÄS</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8957-2025</t>
        </is>
      </c>
      <c r="B18319" s="1" t="n">
        <v>45713</v>
      </c>
      <c r="C18319" s="1" t="n">
        <v>45718</v>
      </c>
      <c r="D18319" t="inlineStr">
        <is>
          <t>VÄSTERBOTTENS LÄN</t>
        </is>
      </c>
      <c r="E18319" t="inlineStr">
        <is>
          <t>LYCKSELE</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8987-2025</t>
        </is>
      </c>
      <c r="B18320" s="1" t="n">
        <v>45713</v>
      </c>
      <c r="C18320" s="1" t="n">
        <v>45718</v>
      </c>
      <c r="D18320" t="inlineStr">
        <is>
          <t>VÄSTERBOTTENS LÄN</t>
        </is>
      </c>
      <c r="E18320" t="inlineStr">
        <is>
          <t>SORSELE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8992-2025</t>
        </is>
      </c>
      <c r="B18321" s="1" t="n">
        <v>45713</v>
      </c>
      <c r="C18321" s="1" t="n">
        <v>45718</v>
      </c>
      <c r="D18321" t="inlineStr">
        <is>
          <t>VÄSTERBOTTENS LÄN</t>
        </is>
      </c>
      <c r="E18321" t="inlineStr">
        <is>
          <t>LYCKSELE</t>
        </is>
      </c>
      <c r="G18321" t="n">
        <v>32.3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9030-2025</t>
        </is>
      </c>
      <c r="B18322" s="1" t="n">
        <v>45713</v>
      </c>
      <c r="C18322" s="1" t="n">
        <v>45718</v>
      </c>
      <c r="D18322" t="inlineStr">
        <is>
          <t>VÄSTERBOTTENS LÄN</t>
        </is>
      </c>
      <c r="E18322" t="inlineStr">
        <is>
          <t>DOROTEA</t>
        </is>
      </c>
      <c r="F18322" t="inlineStr">
        <is>
          <t>SCA</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9015-2025</t>
        </is>
      </c>
      <c r="B18323" s="1" t="n">
        <v>45713</v>
      </c>
      <c r="C18323" s="1" t="n">
        <v>45718</v>
      </c>
      <c r="D18323" t="inlineStr">
        <is>
          <t>VÄSTERBOTTENS LÄN</t>
        </is>
      </c>
      <c r="E18323" t="inlineStr">
        <is>
          <t>NORDMALING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9019-2025</t>
        </is>
      </c>
      <c r="B18324" s="1" t="n">
        <v>45713</v>
      </c>
      <c r="C18324" s="1" t="n">
        <v>45718</v>
      </c>
      <c r="D18324" t="inlineStr">
        <is>
          <t>VÄSTERBOTTENS LÄN</t>
        </is>
      </c>
      <c r="E18324" t="inlineStr">
        <is>
          <t>LYCKSELE</t>
        </is>
      </c>
      <c r="F18324" t="inlineStr">
        <is>
          <t>SCA</t>
        </is>
      </c>
      <c r="G18324" t="n">
        <v>17.4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9073-2025</t>
        </is>
      </c>
      <c r="B18325" s="1" t="n">
        <v>45713</v>
      </c>
      <c r="C18325" s="1" t="n">
        <v>45718</v>
      </c>
      <c r="D18325" t="inlineStr">
        <is>
          <t>VÄSTERBOTTENS LÄN</t>
        </is>
      </c>
      <c r="E18325" t="inlineStr">
        <is>
          <t>SORSELE</t>
        </is>
      </c>
      <c r="F18325" t="inlineStr">
        <is>
          <t>SCA</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9090-2025</t>
        </is>
      </c>
      <c r="B18326" s="1" t="n">
        <v>45713</v>
      </c>
      <c r="C18326" s="1" t="n">
        <v>45718</v>
      </c>
      <c r="D18326" t="inlineStr">
        <is>
          <t>VÄSTERBOTTENS LÄN</t>
        </is>
      </c>
      <c r="E18326" t="inlineStr">
        <is>
          <t>LYCKSELE</t>
        </is>
      </c>
      <c r="F18326" t="inlineStr">
        <is>
          <t>SCA</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9020-2025</t>
        </is>
      </c>
      <c r="B18327" s="1" t="n">
        <v>45713</v>
      </c>
      <c r="C18327" s="1" t="n">
        <v>45718</v>
      </c>
      <c r="D18327" t="inlineStr">
        <is>
          <t>VÄSTERBOTTENS LÄN</t>
        </is>
      </c>
      <c r="E18327" t="inlineStr">
        <is>
          <t>LYCKSELE</t>
        </is>
      </c>
      <c r="F18327" t="inlineStr">
        <is>
          <t>SCA</t>
        </is>
      </c>
      <c r="G18327" t="n">
        <v>7.5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9110-2025</t>
        </is>
      </c>
      <c r="B18328" s="1" t="n">
        <v>45713</v>
      </c>
      <c r="C18328" s="1" t="n">
        <v>45718</v>
      </c>
      <c r="D18328" t="inlineStr">
        <is>
          <t>VÄSTERBOTTENS LÄN</t>
        </is>
      </c>
      <c r="E18328" t="inlineStr">
        <is>
          <t>SORSELE</t>
        </is>
      </c>
      <c r="G18328" t="n">
        <v>59.7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8840-2025</t>
        </is>
      </c>
      <c r="B18329" s="1" t="n">
        <v>45713</v>
      </c>
      <c r="C18329" s="1" t="n">
        <v>45718</v>
      </c>
      <c r="D18329" t="inlineStr">
        <is>
          <t>VÄSTERBOTTENS LÄN</t>
        </is>
      </c>
      <c r="E18329" t="inlineStr">
        <is>
          <t>SKELLEFTEÅ</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45718</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8938-2025</t>
        </is>
      </c>
      <c r="B18331" s="1" t="n">
        <v>45713</v>
      </c>
      <c r="C18331" s="1" t="n">
        <v>45718</v>
      </c>
      <c r="D18331" t="inlineStr">
        <is>
          <t>VÄSTERBOTTENS LÄN</t>
        </is>
      </c>
      <c r="E18331" t="inlineStr">
        <is>
          <t>VÄNNÄS</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8989-2025</t>
        </is>
      </c>
      <c r="B18332" s="1" t="n">
        <v>45713</v>
      </c>
      <c r="C18332" s="1" t="n">
        <v>45718</v>
      </c>
      <c r="D18332" t="inlineStr">
        <is>
          <t>VÄSTERBOTTENS LÄN</t>
        </is>
      </c>
      <c r="E18332" t="inlineStr">
        <is>
          <t>SORSELE</t>
        </is>
      </c>
      <c r="G18332" t="n">
        <v>5.4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9061-2025</t>
        </is>
      </c>
      <c r="B18333" s="1" t="n">
        <v>45713</v>
      </c>
      <c r="C18333" s="1" t="n">
        <v>45718</v>
      </c>
      <c r="D18333" t="inlineStr">
        <is>
          <t>VÄSTERBOTTENS LÄN</t>
        </is>
      </c>
      <c r="E18333" t="inlineStr">
        <is>
          <t>VILHELMINA</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9169-2025</t>
        </is>
      </c>
      <c r="B18334" s="1" t="n">
        <v>45714</v>
      </c>
      <c r="C18334" s="1" t="n">
        <v>45718</v>
      </c>
      <c r="D18334" t="inlineStr">
        <is>
          <t>VÄSTERBOTTENS LÄN</t>
        </is>
      </c>
      <c r="E18334" t="inlineStr">
        <is>
          <t>UMEÅ</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9189-2025</t>
        </is>
      </c>
      <c r="B18335" s="1" t="n">
        <v>45714</v>
      </c>
      <c r="C18335" s="1" t="n">
        <v>45718</v>
      </c>
      <c r="D18335" t="inlineStr">
        <is>
          <t>VÄSTERBOTTENS LÄN</t>
        </is>
      </c>
      <c r="E18335" t="inlineStr">
        <is>
          <t>MALÅ</t>
        </is>
      </c>
      <c r="F18335" t="inlineStr">
        <is>
          <t>Sveaskog</t>
        </is>
      </c>
      <c r="G18335" t="n">
        <v>14.2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9183-2025</t>
        </is>
      </c>
      <c r="B18336" s="1" t="n">
        <v>45714</v>
      </c>
      <c r="C18336" s="1" t="n">
        <v>45718</v>
      </c>
      <c r="D18336" t="inlineStr">
        <is>
          <t>VÄSTERBOTTENS LÄN</t>
        </is>
      </c>
      <c r="E18336" t="inlineStr">
        <is>
          <t>SKELLEFTEÅ</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9187-2025</t>
        </is>
      </c>
      <c r="B18337" s="1" t="n">
        <v>45714</v>
      </c>
      <c r="C18337" s="1" t="n">
        <v>45718</v>
      </c>
      <c r="D18337" t="inlineStr">
        <is>
          <t>VÄSTERBOTTENS LÄN</t>
        </is>
      </c>
      <c r="E18337" t="inlineStr">
        <is>
          <t>ROBERTSFORS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9191-2025</t>
        </is>
      </c>
      <c r="B18338" s="1" t="n">
        <v>45714</v>
      </c>
      <c r="C18338" s="1" t="n">
        <v>45718</v>
      </c>
      <c r="D18338" t="inlineStr">
        <is>
          <t>VÄSTERBOTTENS LÄN</t>
        </is>
      </c>
      <c r="E18338" t="inlineStr">
        <is>
          <t>MALÅ</t>
        </is>
      </c>
      <c r="F18338" t="inlineStr">
        <is>
          <t>Sveaskog</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9147-2025</t>
        </is>
      </c>
      <c r="B18339" s="1" t="n">
        <v>45714</v>
      </c>
      <c r="C18339" s="1" t="n">
        <v>45718</v>
      </c>
      <c r="D18339" t="inlineStr">
        <is>
          <t>VÄSTERBOTTENS LÄN</t>
        </is>
      </c>
      <c r="E18339" t="inlineStr">
        <is>
          <t>UMEÅ</t>
        </is>
      </c>
      <c r="F18339" t="inlineStr">
        <is>
          <t>Holmen skog AB</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9159-2025</t>
        </is>
      </c>
      <c r="B18340" s="1" t="n">
        <v>45714</v>
      </c>
      <c r="C18340" s="1" t="n">
        <v>45718</v>
      </c>
      <c r="D18340" t="inlineStr">
        <is>
          <t>VÄSTERBOTTENS LÄN</t>
        </is>
      </c>
      <c r="E18340" t="inlineStr">
        <is>
          <t>UMEÅ</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9272-2025</t>
        </is>
      </c>
      <c r="B18341" s="1" t="n">
        <v>45714</v>
      </c>
      <c r="C18341" s="1" t="n">
        <v>45718</v>
      </c>
      <c r="D18341" t="inlineStr">
        <is>
          <t>VÄSTERBOTTENS LÄN</t>
        </is>
      </c>
      <c r="E18341" t="inlineStr">
        <is>
          <t>UMEÅ</t>
        </is>
      </c>
      <c r="F18341" t="inlineStr">
        <is>
          <t>Holmen skog AB</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9249-2025</t>
        </is>
      </c>
      <c r="B18342" s="1" t="n">
        <v>45714</v>
      </c>
      <c r="C18342" s="1" t="n">
        <v>45718</v>
      </c>
      <c r="D18342" t="inlineStr">
        <is>
          <t>VÄSTERBOTTENS LÄN</t>
        </is>
      </c>
      <c r="E18342" t="inlineStr">
        <is>
          <t>VINDELN</t>
        </is>
      </c>
      <c r="F18342" t="inlineStr">
        <is>
          <t>Holmen skog AB</t>
        </is>
      </c>
      <c r="G18342" t="n">
        <v>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9330-2025</t>
        </is>
      </c>
      <c r="B18343" s="1" t="n">
        <v>45714</v>
      </c>
      <c r="C18343" s="1" t="n">
        <v>45718</v>
      </c>
      <c r="D18343" t="inlineStr">
        <is>
          <t>VÄSTERBOTTENS LÄN</t>
        </is>
      </c>
      <c r="E18343" t="inlineStr">
        <is>
          <t>BJURHOLM</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9172-2025</t>
        </is>
      </c>
      <c r="B18344" s="1" t="n">
        <v>45714</v>
      </c>
      <c r="C18344" s="1" t="n">
        <v>45718</v>
      </c>
      <c r="D18344" t="inlineStr">
        <is>
          <t>VÄSTERBOTTENS LÄN</t>
        </is>
      </c>
      <c r="E18344" t="inlineStr">
        <is>
          <t>DOROTEA</t>
        </is>
      </c>
      <c r="F18344" t="inlineStr">
        <is>
          <t>SCA</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9251-2025</t>
        </is>
      </c>
      <c r="B18345" s="1" t="n">
        <v>45714</v>
      </c>
      <c r="C18345" s="1" t="n">
        <v>45718</v>
      </c>
      <c r="D18345" t="inlineStr">
        <is>
          <t>VÄSTERBOTTENS LÄN</t>
        </is>
      </c>
      <c r="E18345" t="inlineStr">
        <is>
          <t>ROBERTSFORS</t>
        </is>
      </c>
      <c r="F18345" t="inlineStr">
        <is>
          <t>Holmen skog AB</t>
        </is>
      </c>
      <c r="G18345" t="n">
        <v>8.300000000000001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9259-2025</t>
        </is>
      </c>
      <c r="B18346" s="1" t="n">
        <v>45714</v>
      </c>
      <c r="C18346" s="1" t="n">
        <v>45718</v>
      </c>
      <c r="D18346" t="inlineStr">
        <is>
          <t>VÄSTERBOTTENS LÄN</t>
        </is>
      </c>
      <c r="E18346" t="inlineStr">
        <is>
          <t>ÅSELE</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9369-2025</t>
        </is>
      </c>
      <c r="B18347" s="1" t="n">
        <v>45715</v>
      </c>
      <c r="C18347" s="1" t="n">
        <v>45718</v>
      </c>
      <c r="D18347" t="inlineStr">
        <is>
          <t>VÄSTERBOTTENS LÄN</t>
        </is>
      </c>
      <c r="E18347" t="inlineStr">
        <is>
          <t>ROBERTSFORS</t>
        </is>
      </c>
      <c r="F18347" t="inlineStr">
        <is>
          <t>Holmen skog AB</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9377-2025</t>
        </is>
      </c>
      <c r="B18348" s="1" t="n">
        <v>45715</v>
      </c>
      <c r="C18348" s="1" t="n">
        <v>45718</v>
      </c>
      <c r="D18348" t="inlineStr">
        <is>
          <t>VÄSTERBOTTENS LÄN</t>
        </is>
      </c>
      <c r="E18348" t="inlineStr">
        <is>
          <t>SORSELE</t>
        </is>
      </c>
      <c r="G18348" t="n">
        <v>23.5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9448-2025</t>
        </is>
      </c>
      <c r="B18349" s="1" t="n">
        <v>45715</v>
      </c>
      <c r="C18349" s="1" t="n">
        <v>45718</v>
      </c>
      <c r="D18349" t="inlineStr">
        <is>
          <t>VÄSTERBOTTENS LÄN</t>
        </is>
      </c>
      <c r="E18349" t="inlineStr">
        <is>
          <t>SKELLEFTEÅ</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9383-2025</t>
        </is>
      </c>
      <c r="B18350" s="1" t="n">
        <v>45715</v>
      </c>
      <c r="C18350" s="1" t="n">
        <v>45718</v>
      </c>
      <c r="D18350" t="inlineStr">
        <is>
          <t>VÄSTERBOTTENS LÄN</t>
        </is>
      </c>
      <c r="E18350" t="inlineStr">
        <is>
          <t>SKELLEFTEÅ</t>
        </is>
      </c>
      <c r="G18350" t="n">
        <v>17.5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9432-2025</t>
        </is>
      </c>
      <c r="B18351" s="1" t="n">
        <v>45715</v>
      </c>
      <c r="C18351" s="1" t="n">
        <v>45718</v>
      </c>
      <c r="D18351" t="inlineStr">
        <is>
          <t>VÄSTERBOTTENS LÄN</t>
        </is>
      </c>
      <c r="E18351" t="inlineStr">
        <is>
          <t>SKELLEFTEÅ</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9551-2025</t>
        </is>
      </c>
      <c r="B18352" s="1" t="n">
        <v>45715</v>
      </c>
      <c r="C18352" s="1" t="n">
        <v>45718</v>
      </c>
      <c r="D18352" t="inlineStr">
        <is>
          <t>VÄSTERBOTTENS LÄN</t>
        </is>
      </c>
      <c r="E18352" t="inlineStr">
        <is>
          <t>LYCKSELE</t>
        </is>
      </c>
      <c r="F18352" t="inlineStr">
        <is>
          <t>SCA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9590-2025</t>
        </is>
      </c>
      <c r="B18353" s="1" t="n">
        <v>45715</v>
      </c>
      <c r="C18353" s="1" t="n">
        <v>45718</v>
      </c>
      <c r="D18353" t="inlineStr">
        <is>
          <t>VÄSTERBOTTENS LÄN</t>
        </is>
      </c>
      <c r="E18353" t="inlineStr">
        <is>
          <t>LYCKSELE</t>
        </is>
      </c>
      <c r="G18353" t="n">
        <v>5.6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9620-2025</t>
        </is>
      </c>
      <c r="B18354" s="1" t="n">
        <v>45715</v>
      </c>
      <c r="C18354" s="1" t="n">
        <v>45718</v>
      </c>
      <c r="D18354" t="inlineStr">
        <is>
          <t>VÄSTERBOTTENS LÄN</t>
        </is>
      </c>
      <c r="E18354" t="inlineStr">
        <is>
          <t>VINDELN</t>
        </is>
      </c>
      <c r="G18354" t="n">
        <v>9.300000000000001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9463-2025</t>
        </is>
      </c>
      <c r="B18355" s="1" t="n">
        <v>45715</v>
      </c>
      <c r="C18355" s="1" t="n">
        <v>45718</v>
      </c>
      <c r="D18355" t="inlineStr">
        <is>
          <t>VÄSTERBOTTENS LÄN</t>
        </is>
      </c>
      <c r="E18355" t="inlineStr">
        <is>
          <t>ROBERTSFORS</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9476-2025</t>
        </is>
      </c>
      <c r="B18356" s="1" t="n">
        <v>45715</v>
      </c>
      <c r="C18356" s="1" t="n">
        <v>45718</v>
      </c>
      <c r="D18356" t="inlineStr">
        <is>
          <t>VÄSTERBOTTENS LÄN</t>
        </is>
      </c>
      <c r="E18356" t="inlineStr">
        <is>
          <t>ROBERTSFORS</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9497-2025</t>
        </is>
      </c>
      <c r="B18357" s="1" t="n">
        <v>45715</v>
      </c>
      <c r="C18357" s="1" t="n">
        <v>45718</v>
      </c>
      <c r="D18357" t="inlineStr">
        <is>
          <t>VÄSTERBOTTENS LÄN</t>
        </is>
      </c>
      <c r="E18357" t="inlineStr">
        <is>
          <t>VILHELMINA</t>
        </is>
      </c>
      <c r="F18357" t="inlineStr">
        <is>
          <t>SCA</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9441-2025</t>
        </is>
      </c>
      <c r="B18358" s="1" t="n">
        <v>45715</v>
      </c>
      <c r="C18358" s="1" t="n">
        <v>45718</v>
      </c>
      <c r="D18358" t="inlineStr">
        <is>
          <t>VÄSTERBOTTENS LÄN</t>
        </is>
      </c>
      <c r="E18358" t="inlineStr">
        <is>
          <t>SKELLEFTEÅ</t>
        </is>
      </c>
      <c r="G18358" t="n">
        <v>6.2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9450-2025</t>
        </is>
      </c>
      <c r="B18359" s="1" t="n">
        <v>45715</v>
      </c>
      <c r="C18359" s="1" t="n">
        <v>45718</v>
      </c>
      <c r="D18359" t="inlineStr">
        <is>
          <t>VÄSTERBOTTENS LÄN</t>
        </is>
      </c>
      <c r="E18359" t="inlineStr">
        <is>
          <t>SKELLEFTEÅ</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9517-2025</t>
        </is>
      </c>
      <c r="B18360" s="1" t="n">
        <v>45715</v>
      </c>
      <c r="C18360" s="1" t="n">
        <v>45718</v>
      </c>
      <c r="D18360" t="inlineStr">
        <is>
          <t>VÄSTERBOTTENS LÄN</t>
        </is>
      </c>
      <c r="E18360" t="inlineStr">
        <is>
          <t>LYCKSELE</t>
        </is>
      </c>
      <c r="F18360" t="inlineStr">
        <is>
          <t>SCA</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9550-2025</t>
        </is>
      </c>
      <c r="B18361" s="1" t="n">
        <v>45715</v>
      </c>
      <c r="C18361" s="1" t="n">
        <v>45718</v>
      </c>
      <c r="D18361" t="inlineStr">
        <is>
          <t>VÄSTERBOTTENS LÄN</t>
        </is>
      </c>
      <c r="E18361" t="inlineStr">
        <is>
          <t>LYCKSELE</t>
        </is>
      </c>
      <c r="F18361" t="inlineStr">
        <is>
          <t>SCA</t>
        </is>
      </c>
      <c r="G18361" t="n">
        <v>20.6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9670-2025</t>
        </is>
      </c>
      <c r="B18362" s="1" t="n">
        <v>45716</v>
      </c>
      <c r="C18362" s="1" t="n">
        <v>45718</v>
      </c>
      <c r="D18362" t="inlineStr">
        <is>
          <t>VÄSTERBOTTENS LÄN</t>
        </is>
      </c>
      <c r="E18362" t="inlineStr">
        <is>
          <t>LYCKSELE</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9705-2025</t>
        </is>
      </c>
      <c r="B18363" s="1" t="n">
        <v>45716</v>
      </c>
      <c r="C18363" s="1" t="n">
        <v>45718</v>
      </c>
      <c r="D18363" t="inlineStr">
        <is>
          <t>VÄSTERBOTTENS LÄN</t>
        </is>
      </c>
      <c r="E18363" t="inlineStr">
        <is>
          <t>SKELLEFTEÅ</t>
        </is>
      </c>
      <c r="G18363" t="n">
        <v>3.9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9841-2025</t>
        </is>
      </c>
      <c r="B18364" s="1" t="n">
        <v>45716</v>
      </c>
      <c r="C18364" s="1" t="n">
        <v>45718</v>
      </c>
      <c r="D18364" t="inlineStr">
        <is>
          <t>VÄSTERBOTTENS LÄN</t>
        </is>
      </c>
      <c r="E18364" t="inlineStr">
        <is>
          <t>SKELLEFTEÅ</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9848-2025</t>
        </is>
      </c>
      <c r="B18365" s="1" t="n">
        <v>45716</v>
      </c>
      <c r="C18365" s="1" t="n">
        <v>45718</v>
      </c>
      <c r="D18365" t="inlineStr">
        <is>
          <t>VÄSTERBOTTENS LÄN</t>
        </is>
      </c>
      <c r="E18365" t="inlineStr">
        <is>
          <t>ÅSELE</t>
        </is>
      </c>
      <c r="F18365" t="inlineStr">
        <is>
          <t>SCA</t>
        </is>
      </c>
      <c r="G18365" t="n">
        <v>24.3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9838-2025</t>
        </is>
      </c>
      <c r="B18366" s="1" t="n">
        <v>45716</v>
      </c>
      <c r="C18366" s="1" t="n">
        <v>45718</v>
      </c>
      <c r="D18366" t="inlineStr">
        <is>
          <t>VÄSTERBOTTENS LÄN</t>
        </is>
      </c>
      <c r="E18366" t="inlineStr">
        <is>
          <t>SKELLEFTEÅ</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9694-2025</t>
        </is>
      </c>
      <c r="B18367" s="1" t="n">
        <v>45716</v>
      </c>
      <c r="C18367" s="1" t="n">
        <v>45718</v>
      </c>
      <c r="D18367" t="inlineStr">
        <is>
          <t>VÄSTERBOTTENS LÄN</t>
        </is>
      </c>
      <c r="E18367" t="inlineStr">
        <is>
          <t>SKELLEFTEÅ</t>
        </is>
      </c>
      <c r="G18367" t="n">
        <v>7.6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9702-2025</t>
        </is>
      </c>
      <c r="B18368" s="1" t="n">
        <v>45716</v>
      </c>
      <c r="C18368" s="1" t="n">
        <v>45718</v>
      </c>
      <c r="D18368" t="inlineStr">
        <is>
          <t>VÄSTERBOTTENS LÄN</t>
        </is>
      </c>
      <c r="E18368" t="inlineStr">
        <is>
          <t>SKELLEFTEÅ</t>
        </is>
      </c>
      <c r="G18368" t="n">
        <v>1.4</v>
      </c>
      <c r="H18368" t="n">
        <v>0</v>
      </c>
      <c r="I18368" t="n">
        <v>0</v>
      </c>
      <c r="J18368" t="n">
        <v>0</v>
      </c>
      <c r="K18368" t="n">
        <v>0</v>
      </c>
      <c r="L18368" t="n">
        <v>0</v>
      </c>
      <c r="M18368" t="n">
        <v>0</v>
      </c>
      <c r="N18368" t="n">
        <v>0</v>
      </c>
      <c r="O18368" t="n">
        <v>0</v>
      </c>
      <c r="P18368" t="n">
        <v>0</v>
      </c>
      <c r="Q18368" t="n">
        <v>0</v>
      </c>
      <c r="R18368" s="2" t="inlineStr"/>
    </row>
    <row r="18369">
      <c r="A18369" t="inlineStr">
        <is>
          <t>A 9840-2025</t>
        </is>
      </c>
      <c r="B18369" s="1" t="n">
        <v>45716</v>
      </c>
      <c r="C18369" s="1" t="n">
        <v>45718</v>
      </c>
      <c r="D18369" t="inlineStr">
        <is>
          <t>VÄSTERBOTTENS LÄN</t>
        </is>
      </c>
      <c r="E18369" t="inlineStr">
        <is>
          <t>SKELLEFTEÅ</t>
        </is>
      </c>
      <c r="G18369" t="n">
        <v>2.4</v>
      </c>
      <c r="H18369" t="n">
        <v>0</v>
      </c>
      <c r="I18369" t="n">
        <v>0</v>
      </c>
      <c r="J18369" t="n">
        <v>0</v>
      </c>
      <c r="K18369" t="n">
        <v>0</v>
      </c>
      <c r="L18369" t="n">
        <v>0</v>
      </c>
      <c r="M18369" t="n">
        <v>0</v>
      </c>
      <c r="N18369" t="n">
        <v>0</v>
      </c>
      <c r="O18369" t="n">
        <v>0</v>
      </c>
      <c r="P18369" t="n">
        <v>0</v>
      </c>
      <c r="Q18369" t="n">
        <v>0</v>
      </c>
      <c r="R18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2025-03-02T17:00:15Z</dcterms:created>
  <dcterms:modified xmlns:dcterms="http://purl.org/dc/terms/" xmlns:xsi="http://www.w3.org/2001/XMLSchema-instance" xsi:type="dcterms:W3CDTF">2025-03-02T17:00:30Z</dcterms:modified>
</cp:coreProperties>
</file>