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45792</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45792</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45792</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45792</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45792</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45792</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45792</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45792</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45792</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45792</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45792</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45792</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45792</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45792</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45792</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45792</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45792</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45792</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45792</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45792</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45792</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45792</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45792</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45792</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45792</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45792</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45792</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45792</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45792</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45792</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45792</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45792</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45792</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45792</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45792</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45792</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45792</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45792</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45792</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45792</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45792</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45792</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45792</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45792</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45792</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45792</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45792</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45792</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45792</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45792</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45792</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45792</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45792</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45792</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45792</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45792</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45792</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45792</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45792</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45792</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45792</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45792</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45792</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45792</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45792</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45792</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45792</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45792</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45792</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45792</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45792</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45792</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45792</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45792</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45792</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45792</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45792</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45792</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45792</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45792</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45792</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45792</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45792</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45792</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45792</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45792</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45792</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45792</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45792</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45792</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45792</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45792</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45792</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45792</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45792</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45792</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45792</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45792</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45792</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45792</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45792</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45792</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45792</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45792</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45792</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45792</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45792</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45792</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45792</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45792</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45792</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45792</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45792</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45792</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45792</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45792</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45792</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45792</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45792</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45792</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45792</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45792</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45792</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45792</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45792</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45792</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45792</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45792</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45792</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45792</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45792</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45792</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45792</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45792</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45792</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45792</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45792</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45792</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45792</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45792</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45792</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45792</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45792</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45792</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45792</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45792</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45792</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45792</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45792</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45792</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45792</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45792</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45792</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45792</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45792</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45792</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45792</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45792</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45792</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45792</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45792</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45792</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45792</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45792</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45792</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45792</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45792</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45792</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45792</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45792</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45792</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45792</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45792</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45792</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45792</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45792</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45792</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45792</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45792</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45792</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45792</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45792</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45792</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45792</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45792</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45792</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45792</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45792</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45792</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45792</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45792</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45792</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45792</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45792</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45792</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45792</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45792</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45792</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45792</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45792</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45792</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45792</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45792</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45792</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45792</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45792</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45792</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45792</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45792</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45792</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45792</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45792</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45792</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45792</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45792</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45792</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45792</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45792</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45792</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45792</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45792</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45792</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45792</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45792</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45792</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45792</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45792</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45792</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45792</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45792</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45792</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45792</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45792</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45792</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45792</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45792</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45792</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45792</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45792</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45792</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45792</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45792</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45792</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45792</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45792</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45792</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45792</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45792</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45792</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45792</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45792</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45792</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45792</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45792</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45792</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45792</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45792</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45792</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45792</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45792</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45792</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45792</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45792</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45792</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45792</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45792</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45792</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45792</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45792</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45792</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45792</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45792</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45792</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45792</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45792</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45792</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45792</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45792</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45792</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45792</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45792</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45792</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45792</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45792</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45792</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45792</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45792</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45792</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45792</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45792</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45792</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45792</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45792</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45792</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45792</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45792</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45792</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45792</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45792</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45792</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45792</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45792</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45792</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45792</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45792</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45792</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45792</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45792</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45792</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45792</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45792</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45792</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45792</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45792</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45792</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45792</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45792</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45792</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45792</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45792</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45792</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45792</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45792</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45792</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45792</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45792</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45792</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45792</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45792</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45792</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45792</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45792</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45792</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45792</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45792</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45792</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45792</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45792</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45792</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45792</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45792</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45792</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45792</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45792</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45792</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45792</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45792</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45792</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45792</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45792</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45792</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45792</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45792</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45792</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45792</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45792</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45792</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45792</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45792</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45792</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45792</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45792</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45792</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45792</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45792</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45792</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45792</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45792</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45792</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45792</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45792</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45792</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45792</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45792</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45792</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45792</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45792</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45792</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45792</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45792</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45792</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45792</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45792</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45792</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45792</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45792</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45792</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45792</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45792</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45792</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45792</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45792</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45792</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45792</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45792</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45792</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45792</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45792</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45792</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45792</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45792</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45792</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45792</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45792</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45792</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45792</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45792</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45792</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45792</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45792</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45792</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45792</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45792</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45792</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45792</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45792</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45792</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45792</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45792</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45792</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45792</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45792</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45792</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45792</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45792</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45792</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45792</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45792</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45792</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45792</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45792</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45792</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45792</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45792</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45792</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45792</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45792</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45792</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45792</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45792</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45792</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45792</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45792</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45792</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45792</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45792</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45792</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45792</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45792</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45792</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45792</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45792</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45792</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45792</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45792</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45792</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45792</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45792</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45792</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45792</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45792</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45792</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45792</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45792</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45792</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45792</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45792</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45792</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45792</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45792</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45792</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45792</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45792</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45792</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45792</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45792</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45792</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45792</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45792</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45792</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45792</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45792</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45792</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45792</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45792</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45792</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45792</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45792</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45792</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45792</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45792</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45792</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45792</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45792</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45792</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45792</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45792</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45792</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45792</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45792</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45792</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45792</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45792</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45792</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45792</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45792</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45792</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45792</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45792</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45792</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45792</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45792</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45792</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45792</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45792</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45792</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45792</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45792</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45792</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45792</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45792</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45792</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45792</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45792</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45792</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45792</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45792</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45792</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45792</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45792</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45792</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45792</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45792</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45792</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45792</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45792</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45792</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45792</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45792</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45792</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45792</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45792</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45792</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45792</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45792</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45792</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45792</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45792</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45792</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45792</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45792</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45792</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45792</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45792</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45792</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45792</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45792</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45792</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45792</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45792</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45792</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45792</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45792</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45792</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45792</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45792</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45792</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45792</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45792</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45792</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45792</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45792</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45792</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45792</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45792</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45792</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45792</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45792</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45792</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45792</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45792</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45792</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45792</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45792</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45792</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45792</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45792</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45792</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45792</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45792</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45792</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45792</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45792</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45792</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45792</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45792</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45792</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45792</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45792</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45792</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45792</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45792</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45792</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45792</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45792</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45792</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45792</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45792</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45792</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45792</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45792</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45792</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45792</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45792</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45792</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45792</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45792</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45792</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45792</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45792</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45792</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45792</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45792</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45792</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45792</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45792</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45792</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45792</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45792</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45792</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45792</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45792</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45792</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45792</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45792</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45792</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45792</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45792</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45792</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45792</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45792</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45792</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45792</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45792</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45792</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45792</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45792</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45792</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45792</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45792</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45792</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45792</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45792</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45792</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45792</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45792</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45792</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45792</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45792</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45792</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45792</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45792</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45792</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45792</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45792</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45792</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45792</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45792</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45792</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45792</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45792</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45792</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45792</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45792</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45792</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45792</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45792</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45792</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45792</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45792</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45792</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45792</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45792</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45792</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45792</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45792</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45792</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45792</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45792</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45792</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45792</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45792</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45792</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45792</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45792</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45792</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45792</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45792</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45792</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45792</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45792</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45792</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45792</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45792</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45792</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45792</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45792</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45792</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45792</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45792</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45792</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45792</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45792</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45792</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45792</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45792</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45792</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45792</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45792</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45792</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45792</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45792</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45792</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45792</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45792</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45792</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45792</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45792</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45792</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45792</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45792</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45792</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45792</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45792</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45792</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45792</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45792</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45792</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45792</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45792</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45792</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45792</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45792</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45792</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45792</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45792</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45792</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45792</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45792</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45792</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45792</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45792</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45792</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45792</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45792</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45792</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45792</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45792</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45792</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45792</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45792</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45792</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45792</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45792</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45792</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45792</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45792</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45792</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45792</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45792</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45792</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45792</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45792</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45792</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45792</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45792</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45792</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45792</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45792</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45792</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45792</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45792</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45792</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45792</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45792</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45792</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45792</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45792</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45792</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20379-2025</t>
        </is>
      </c>
      <c r="B844" s="1" t="n">
        <v>45775</v>
      </c>
      <c r="C844" s="1" t="n">
        <v>45792</v>
      </c>
      <c r="D844" t="inlineStr">
        <is>
          <t>VÄSTERBOTTENS LÄN</t>
        </is>
      </c>
      <c r="E844" t="inlineStr">
        <is>
          <t>SKELLEFTEÅ</t>
        </is>
      </c>
      <c r="G844" t="n">
        <v>3.3</v>
      </c>
      <c r="H844" t="n">
        <v>0</v>
      </c>
      <c r="I844" t="n">
        <v>0</v>
      </c>
      <c r="J844" t="n">
        <v>3</v>
      </c>
      <c r="K844" t="n">
        <v>0</v>
      </c>
      <c r="L844" t="n">
        <v>0</v>
      </c>
      <c r="M844" t="n">
        <v>0</v>
      </c>
      <c r="N844" t="n">
        <v>0</v>
      </c>
      <c r="O844" t="n">
        <v>3</v>
      </c>
      <c r="P844" t="n">
        <v>0</v>
      </c>
      <c r="Q844" t="n">
        <v>3</v>
      </c>
      <c r="R844" s="2" t="inlineStr">
        <is>
          <t>Granticka
Orange taggsvamp
Violettgrå tagellav</t>
        </is>
      </c>
      <c r="S844">
        <f>HYPERLINK("https://klasma.github.io/Logging_242482/artfynd/A 20379-2025 artfynd.xlsx", "A 20379-2025")</f>
        <v/>
      </c>
      <c r="T844">
        <f>HYPERLINK("https://klasma.github.io/Logging_242482/kartor/A 20379-2025 karta.png", "A 20379-2025")</f>
        <v/>
      </c>
      <c r="V844">
        <f>HYPERLINK("https://klasma.github.io/Logging_242482/klagomål/A 20379-2025 FSC-klagomål.docx", "A 20379-2025")</f>
        <v/>
      </c>
      <c r="W844">
        <f>HYPERLINK("https://klasma.github.io/Logging_242482/klagomålsmail/A 20379-2025 FSC-klagomål mail.docx", "A 20379-2025")</f>
        <v/>
      </c>
      <c r="X844">
        <f>HYPERLINK("https://klasma.github.io/Logging_242482/tillsyn/A 20379-2025 tillsynsbegäran.docx", "A 20379-2025")</f>
        <v/>
      </c>
      <c r="Y844">
        <f>HYPERLINK("https://klasma.github.io/Logging_242482/tillsynsmail/A 20379-2025 tillsynsbegäran mail.docx", "A 20379-2025")</f>
        <v/>
      </c>
    </row>
    <row r="845" ht="15" customHeight="1">
      <c r="A845" t="inlineStr">
        <is>
          <t>A 20752-2025</t>
        </is>
      </c>
      <c r="B845" s="1" t="n">
        <v>45776</v>
      </c>
      <c r="C845" s="1" t="n">
        <v>45792</v>
      </c>
      <c r="D845" t="inlineStr">
        <is>
          <t>VÄSTERBOTTENS LÄN</t>
        </is>
      </c>
      <c r="E845" t="inlineStr">
        <is>
          <t>ROBERTSFORS</t>
        </is>
      </c>
      <c r="F845" t="inlineStr">
        <is>
          <t>Holmen skog AB</t>
        </is>
      </c>
      <c r="G845" t="n">
        <v>2.9</v>
      </c>
      <c r="H845" t="n">
        <v>1</v>
      </c>
      <c r="I845" t="n">
        <v>1</v>
      </c>
      <c r="J845" t="n">
        <v>2</v>
      </c>
      <c r="K845" t="n">
        <v>0</v>
      </c>
      <c r="L845" t="n">
        <v>0</v>
      </c>
      <c r="M845" t="n">
        <v>0</v>
      </c>
      <c r="N845" t="n">
        <v>0</v>
      </c>
      <c r="O845" t="n">
        <v>2</v>
      </c>
      <c r="P845" t="n">
        <v>0</v>
      </c>
      <c r="Q845" t="n">
        <v>3</v>
      </c>
      <c r="R845" s="2" t="inlineStr">
        <is>
          <t>Garnlav
Spillkråka
Vedticka</t>
        </is>
      </c>
      <c r="S845">
        <f>HYPERLINK("https://klasma.github.io/Logging_242409/artfynd/A 20752-2025 artfynd.xlsx", "A 20752-2025")</f>
        <v/>
      </c>
      <c r="T845">
        <f>HYPERLINK("https://klasma.github.io/Logging_242409/kartor/A 20752-2025 karta.png", "A 20752-2025")</f>
        <v/>
      </c>
      <c r="V845">
        <f>HYPERLINK("https://klasma.github.io/Logging_242409/klagomål/A 20752-2025 FSC-klagomål.docx", "A 20752-2025")</f>
        <v/>
      </c>
      <c r="W845">
        <f>HYPERLINK("https://klasma.github.io/Logging_242409/klagomålsmail/A 20752-2025 FSC-klagomål mail.docx", "A 20752-2025")</f>
        <v/>
      </c>
      <c r="X845">
        <f>HYPERLINK("https://klasma.github.io/Logging_242409/tillsyn/A 20752-2025 tillsynsbegäran.docx", "A 20752-2025")</f>
        <v/>
      </c>
      <c r="Y845">
        <f>HYPERLINK("https://klasma.github.io/Logging_242409/tillsynsmail/A 20752-2025 tillsynsbegäran mail.docx", "A 20752-2025")</f>
        <v/>
      </c>
      <c r="Z845">
        <f>HYPERLINK("https://klasma.github.io/Logging_242409/fåglar/A 20752-2025 prioriterade fågelarter.docx", "A 20752-2025")</f>
        <v/>
      </c>
    </row>
    <row r="846" ht="15" customHeight="1">
      <c r="A846" t="inlineStr">
        <is>
          <t>A 22368-2025</t>
        </is>
      </c>
      <c r="B846" s="1" t="n">
        <v>45786</v>
      </c>
      <c r="C846" s="1" t="n">
        <v>45792</v>
      </c>
      <c r="D846" t="inlineStr">
        <is>
          <t>VÄSTERBOTTENS LÄN</t>
        </is>
      </c>
      <c r="E846" t="inlineStr">
        <is>
          <t>LYCKSELE</t>
        </is>
      </c>
      <c r="F846" t="inlineStr">
        <is>
          <t>Sveaskog</t>
        </is>
      </c>
      <c r="G846" t="n">
        <v>2.9</v>
      </c>
      <c r="H846" t="n">
        <v>0</v>
      </c>
      <c r="I846" t="n">
        <v>0</v>
      </c>
      <c r="J846" t="n">
        <v>3</v>
      </c>
      <c r="K846" t="n">
        <v>0</v>
      </c>
      <c r="L846" t="n">
        <v>0</v>
      </c>
      <c r="M846" t="n">
        <v>0</v>
      </c>
      <c r="N846" t="n">
        <v>0</v>
      </c>
      <c r="O846" t="n">
        <v>3</v>
      </c>
      <c r="P846" t="n">
        <v>0</v>
      </c>
      <c r="Q846" t="n">
        <v>3</v>
      </c>
      <c r="R846" s="2" t="inlineStr">
        <is>
          <t>Blå taggsvamp
Kolflarnlav
Mörk kolflarnlav</t>
        </is>
      </c>
      <c r="S846">
        <f>HYPERLINK("https://klasma.github.io/Logging_242481/artfynd/A 22368-2025 artfynd.xlsx", "A 22368-2025")</f>
        <v/>
      </c>
      <c r="T846">
        <f>HYPERLINK("https://klasma.github.io/Logging_242481/kartor/A 22368-2025 karta.png", "A 22368-2025")</f>
        <v/>
      </c>
      <c r="V846">
        <f>HYPERLINK("https://klasma.github.io/Logging_242481/klagomål/A 22368-2025 FSC-klagomål.docx", "A 22368-2025")</f>
        <v/>
      </c>
      <c r="W846">
        <f>HYPERLINK("https://klasma.github.io/Logging_242481/klagomålsmail/A 22368-2025 FSC-klagomål mail.docx", "A 22368-2025")</f>
        <v/>
      </c>
      <c r="X846">
        <f>HYPERLINK("https://klasma.github.io/Logging_242481/tillsyn/A 22368-2025 tillsynsbegäran.docx", "A 22368-2025")</f>
        <v/>
      </c>
      <c r="Y846">
        <f>HYPERLINK("https://klasma.github.io/Logging_242481/tillsynsmail/A 22368-2025 tillsynsbegäran mail.docx", "A 22368-2025")</f>
        <v/>
      </c>
    </row>
    <row r="847" ht="15" customHeight="1">
      <c r="A847" t="inlineStr">
        <is>
          <t>A 17998-2019</t>
        </is>
      </c>
      <c r="B847" s="1" t="n">
        <v>43556</v>
      </c>
      <c r="C847" s="1" t="n">
        <v>45792</v>
      </c>
      <c r="D847" t="inlineStr">
        <is>
          <t>VÄSTERBOTTENS LÄN</t>
        </is>
      </c>
      <c r="E847" t="inlineStr">
        <is>
          <t>NORDMALING</t>
        </is>
      </c>
      <c r="G847" t="n">
        <v>6</v>
      </c>
      <c r="H847" t="n">
        <v>0</v>
      </c>
      <c r="I847" t="n">
        <v>0</v>
      </c>
      <c r="J847" t="n">
        <v>2</v>
      </c>
      <c r="K847" t="n">
        <v>0</v>
      </c>
      <c r="L847" t="n">
        <v>0</v>
      </c>
      <c r="M847" t="n">
        <v>0</v>
      </c>
      <c r="N847" t="n">
        <v>0</v>
      </c>
      <c r="O847" t="n">
        <v>2</v>
      </c>
      <c r="P847" t="n">
        <v>0</v>
      </c>
      <c r="Q847" t="n">
        <v>2</v>
      </c>
      <c r="R847" s="2" t="inlineStr">
        <is>
          <t>Granticka
Rosenticka</t>
        </is>
      </c>
      <c r="S847">
        <f>HYPERLINK("https://klasma.github.io/Logging_2401/artfynd/A 17998-2019 artfynd.xlsx", "A 17998-2019")</f>
        <v/>
      </c>
      <c r="T847">
        <f>HYPERLINK("https://klasma.github.io/Logging_2401/kartor/A 17998-2019 karta.png", "A 17998-2019")</f>
        <v/>
      </c>
      <c r="V847">
        <f>HYPERLINK("https://klasma.github.io/Logging_2401/klagomål/A 17998-2019 FSC-klagomål.docx", "A 17998-2019")</f>
        <v/>
      </c>
      <c r="W847">
        <f>HYPERLINK("https://klasma.github.io/Logging_2401/klagomålsmail/A 17998-2019 FSC-klagomål mail.docx", "A 17998-2019")</f>
        <v/>
      </c>
      <c r="X847">
        <f>HYPERLINK("https://klasma.github.io/Logging_2401/tillsyn/A 17998-2019 tillsynsbegäran.docx", "A 17998-2019")</f>
        <v/>
      </c>
      <c r="Y847">
        <f>HYPERLINK("https://klasma.github.io/Logging_2401/tillsynsmail/A 17998-2019 tillsynsbegäran mail.docx", "A 17998-2019")</f>
        <v/>
      </c>
    </row>
    <row r="848" ht="15" customHeight="1">
      <c r="A848" t="inlineStr">
        <is>
          <t>A 18882-2019</t>
        </is>
      </c>
      <c r="B848" s="1" t="n">
        <v>43563</v>
      </c>
      <c r="C848" s="1" t="n">
        <v>45792</v>
      </c>
      <c r="D848" t="inlineStr">
        <is>
          <t>VÄSTERBOTTENS LÄN</t>
        </is>
      </c>
      <c r="E848" t="inlineStr">
        <is>
          <t>SKELLEFTEÅ</t>
        </is>
      </c>
      <c r="F848" t="inlineStr">
        <is>
          <t>Kommuner</t>
        </is>
      </c>
      <c r="G848" t="n">
        <v>33.1</v>
      </c>
      <c r="H848" t="n">
        <v>2</v>
      </c>
      <c r="I848" t="n">
        <v>1</v>
      </c>
      <c r="J848" t="n">
        <v>0</v>
      </c>
      <c r="K848" t="n">
        <v>0</v>
      </c>
      <c r="L848" t="n">
        <v>0</v>
      </c>
      <c r="M848" t="n">
        <v>0</v>
      </c>
      <c r="N848" t="n">
        <v>0</v>
      </c>
      <c r="O848" t="n">
        <v>0</v>
      </c>
      <c r="P848" t="n">
        <v>0</v>
      </c>
      <c r="Q848" t="n">
        <v>2</v>
      </c>
      <c r="R848" s="2" t="inlineStr">
        <is>
          <t>Plattlummer
Revlummer</t>
        </is>
      </c>
      <c r="S848">
        <f>HYPERLINK("https://klasma.github.io/Logging_2482/artfynd/A 18882-2019 artfynd.xlsx", "A 18882-2019")</f>
        <v/>
      </c>
      <c r="T848">
        <f>HYPERLINK("https://klasma.github.io/Logging_2482/kartor/A 18882-2019 karta.png", "A 18882-2019")</f>
        <v/>
      </c>
      <c r="V848">
        <f>HYPERLINK("https://klasma.github.io/Logging_2482/klagomål/A 18882-2019 FSC-klagomål.docx", "A 18882-2019")</f>
        <v/>
      </c>
      <c r="W848">
        <f>HYPERLINK("https://klasma.github.io/Logging_2482/klagomålsmail/A 18882-2019 FSC-klagomål mail.docx", "A 18882-2019")</f>
        <v/>
      </c>
      <c r="X848">
        <f>HYPERLINK("https://klasma.github.io/Logging_2482/tillsyn/A 18882-2019 tillsynsbegäran.docx", "A 18882-2019")</f>
        <v/>
      </c>
      <c r="Y848">
        <f>HYPERLINK("https://klasma.github.io/Logging_2482/tillsynsmail/A 18882-2019 tillsynsbegäran mail.docx", "A 18882-2019")</f>
        <v/>
      </c>
    </row>
    <row r="849" ht="15" customHeight="1">
      <c r="A849" t="inlineStr">
        <is>
          <t>A 29514-2019</t>
        </is>
      </c>
      <c r="B849" s="1" t="n">
        <v>43627</v>
      </c>
      <c r="C849" s="1" t="n">
        <v>45792</v>
      </c>
      <c r="D849" t="inlineStr">
        <is>
          <t>VÄSTERBOTTENS LÄN</t>
        </is>
      </c>
      <c r="E849" t="inlineStr">
        <is>
          <t>SKELLEFTEÅ</t>
        </is>
      </c>
      <c r="G849" t="n">
        <v>9.5</v>
      </c>
      <c r="H849" t="n">
        <v>1</v>
      </c>
      <c r="I849" t="n">
        <v>1</v>
      </c>
      <c r="J849" t="n">
        <v>1</v>
      </c>
      <c r="K849" t="n">
        <v>0</v>
      </c>
      <c r="L849" t="n">
        <v>0</v>
      </c>
      <c r="M849" t="n">
        <v>0</v>
      </c>
      <c r="N849" t="n">
        <v>0</v>
      </c>
      <c r="O849" t="n">
        <v>1</v>
      </c>
      <c r="P849" t="n">
        <v>0</v>
      </c>
      <c r="Q849" t="n">
        <v>2</v>
      </c>
      <c r="R849" s="2" t="inlineStr">
        <is>
          <t>Ullticka
Lappranunkel</t>
        </is>
      </c>
      <c r="S849">
        <f>HYPERLINK("https://klasma.github.io/Logging_2482/artfynd/A 29514-2019 artfynd.xlsx", "A 29514-2019")</f>
        <v/>
      </c>
      <c r="T849">
        <f>HYPERLINK("https://klasma.github.io/Logging_2482/kartor/A 29514-2019 karta.png", "A 29514-2019")</f>
        <v/>
      </c>
      <c r="V849">
        <f>HYPERLINK("https://klasma.github.io/Logging_2482/klagomål/A 29514-2019 FSC-klagomål.docx", "A 29514-2019")</f>
        <v/>
      </c>
      <c r="W849">
        <f>HYPERLINK("https://klasma.github.io/Logging_2482/klagomålsmail/A 29514-2019 FSC-klagomål mail.docx", "A 29514-2019")</f>
        <v/>
      </c>
      <c r="X849">
        <f>HYPERLINK("https://klasma.github.io/Logging_2482/tillsyn/A 29514-2019 tillsynsbegäran.docx", "A 29514-2019")</f>
        <v/>
      </c>
      <c r="Y849">
        <f>HYPERLINK("https://klasma.github.io/Logging_2482/tillsynsmail/A 29514-2019 tillsynsbegäran mail.docx", "A 29514-2019")</f>
        <v/>
      </c>
    </row>
    <row r="850" ht="15" customHeight="1">
      <c r="A850" t="inlineStr">
        <is>
          <t>A 29824-2019</t>
        </is>
      </c>
      <c r="B850" s="1" t="n">
        <v>43629</v>
      </c>
      <c r="C850" s="1" t="n">
        <v>45792</v>
      </c>
      <c r="D850" t="inlineStr">
        <is>
          <t>VÄSTERBOTTENS LÄN</t>
        </is>
      </c>
      <c r="E850" t="inlineStr">
        <is>
          <t>NORDMALING</t>
        </is>
      </c>
      <c r="G850" t="n">
        <v>2.9</v>
      </c>
      <c r="H850" t="n">
        <v>0</v>
      </c>
      <c r="I850" t="n">
        <v>0</v>
      </c>
      <c r="J850" t="n">
        <v>1</v>
      </c>
      <c r="K850" t="n">
        <v>1</v>
      </c>
      <c r="L850" t="n">
        <v>0</v>
      </c>
      <c r="M850" t="n">
        <v>0</v>
      </c>
      <c r="N850" t="n">
        <v>0</v>
      </c>
      <c r="O850" t="n">
        <v>2</v>
      </c>
      <c r="P850" t="n">
        <v>1</v>
      </c>
      <c r="Q850" t="n">
        <v>2</v>
      </c>
      <c r="R850" s="2" t="inlineStr">
        <is>
          <t>Rynkskinn
Ullticka</t>
        </is>
      </c>
      <c r="S850">
        <f>HYPERLINK("https://klasma.github.io/Logging_2401/artfynd/A 29824-2019 artfynd.xlsx", "A 29824-2019")</f>
        <v/>
      </c>
      <c r="T850">
        <f>HYPERLINK("https://klasma.github.io/Logging_2401/kartor/A 29824-2019 karta.png", "A 29824-2019")</f>
        <v/>
      </c>
      <c r="V850">
        <f>HYPERLINK("https://klasma.github.io/Logging_2401/klagomål/A 29824-2019 FSC-klagomål.docx", "A 29824-2019")</f>
        <v/>
      </c>
      <c r="W850">
        <f>HYPERLINK("https://klasma.github.io/Logging_2401/klagomålsmail/A 29824-2019 FSC-klagomål mail.docx", "A 29824-2019")</f>
        <v/>
      </c>
      <c r="X850">
        <f>HYPERLINK("https://klasma.github.io/Logging_2401/tillsyn/A 29824-2019 tillsynsbegäran.docx", "A 29824-2019")</f>
        <v/>
      </c>
      <c r="Y850">
        <f>HYPERLINK("https://klasma.github.io/Logging_2401/tillsynsmail/A 29824-2019 tillsynsbegäran mail.docx", "A 29824-2019")</f>
        <v/>
      </c>
    </row>
    <row r="851" ht="15" customHeight="1">
      <c r="A851" t="inlineStr">
        <is>
          <t>A 34784-2019</t>
        </is>
      </c>
      <c r="B851" s="1" t="n">
        <v>43658</v>
      </c>
      <c r="C851" s="1" t="n">
        <v>45792</v>
      </c>
      <c r="D851" t="inlineStr">
        <is>
          <t>VÄSTERBOTTENS LÄN</t>
        </is>
      </c>
      <c r="E851" t="inlineStr">
        <is>
          <t>VILHELMINA</t>
        </is>
      </c>
      <c r="F851" t="inlineStr">
        <is>
          <t>Sveaskog</t>
        </is>
      </c>
      <c r="G851" t="n">
        <v>1.8</v>
      </c>
      <c r="H851" t="n">
        <v>0</v>
      </c>
      <c r="I851" t="n">
        <v>0</v>
      </c>
      <c r="J851" t="n">
        <v>2</v>
      </c>
      <c r="K851" t="n">
        <v>0</v>
      </c>
      <c r="L851" t="n">
        <v>0</v>
      </c>
      <c r="M851" t="n">
        <v>0</v>
      </c>
      <c r="N851" t="n">
        <v>0</v>
      </c>
      <c r="O851" t="n">
        <v>2</v>
      </c>
      <c r="P851" t="n">
        <v>0</v>
      </c>
      <c r="Q851" t="n">
        <v>2</v>
      </c>
      <c r="R851" s="2" t="inlineStr">
        <is>
          <t>Granticka
Tallticka</t>
        </is>
      </c>
      <c r="S851">
        <f>HYPERLINK("https://klasma.github.io/Logging_2462/artfynd/A 34784-2019 artfynd.xlsx", "A 34784-2019")</f>
        <v/>
      </c>
      <c r="T851">
        <f>HYPERLINK("https://klasma.github.io/Logging_2462/kartor/A 34784-2019 karta.png", "A 34784-2019")</f>
        <v/>
      </c>
      <c r="V851">
        <f>HYPERLINK("https://klasma.github.io/Logging_2462/klagomål/A 34784-2019 FSC-klagomål.docx", "A 34784-2019")</f>
        <v/>
      </c>
      <c r="W851">
        <f>HYPERLINK("https://klasma.github.io/Logging_2462/klagomålsmail/A 34784-2019 FSC-klagomål mail.docx", "A 34784-2019")</f>
        <v/>
      </c>
      <c r="X851">
        <f>HYPERLINK("https://klasma.github.io/Logging_2462/tillsyn/A 34784-2019 tillsynsbegäran.docx", "A 34784-2019")</f>
        <v/>
      </c>
      <c r="Y851">
        <f>HYPERLINK("https://klasma.github.io/Logging_2462/tillsynsmail/A 34784-2019 tillsynsbegäran mail.docx", "A 34784-2019")</f>
        <v/>
      </c>
    </row>
    <row r="852" ht="15" customHeight="1">
      <c r="A852" t="inlineStr">
        <is>
          <t>A 35097-2019</t>
        </is>
      </c>
      <c r="B852" s="1" t="n">
        <v>43661</v>
      </c>
      <c r="C852" s="1" t="n">
        <v>45792</v>
      </c>
      <c r="D852" t="inlineStr">
        <is>
          <t>VÄSTERBOTTENS LÄN</t>
        </is>
      </c>
      <c r="E852" t="inlineStr">
        <is>
          <t>SKELLEFTEÅ</t>
        </is>
      </c>
      <c r="F852" t="inlineStr">
        <is>
          <t>Sveaskog</t>
        </is>
      </c>
      <c r="G852" t="n">
        <v>19.2</v>
      </c>
      <c r="H852" t="n">
        <v>0</v>
      </c>
      <c r="I852" t="n">
        <v>1</v>
      </c>
      <c r="J852" t="n">
        <v>1</v>
      </c>
      <c r="K852" t="n">
        <v>0</v>
      </c>
      <c r="L852" t="n">
        <v>0</v>
      </c>
      <c r="M852" t="n">
        <v>0</v>
      </c>
      <c r="N852" t="n">
        <v>0</v>
      </c>
      <c r="O852" t="n">
        <v>1</v>
      </c>
      <c r="P852" t="n">
        <v>0</v>
      </c>
      <c r="Q852" t="n">
        <v>2</v>
      </c>
      <c r="R852" s="2" t="inlineStr">
        <is>
          <t>Grönhjon
Bronshjon</t>
        </is>
      </c>
      <c r="S852">
        <f>HYPERLINK("https://klasma.github.io/Logging_2482/artfynd/A 35097-2019 artfynd.xlsx", "A 35097-2019")</f>
        <v/>
      </c>
      <c r="T852">
        <f>HYPERLINK("https://klasma.github.io/Logging_2482/kartor/A 35097-2019 karta.png", "A 35097-2019")</f>
        <v/>
      </c>
      <c r="V852">
        <f>HYPERLINK("https://klasma.github.io/Logging_2482/klagomål/A 35097-2019 FSC-klagomål.docx", "A 35097-2019")</f>
        <v/>
      </c>
      <c r="W852">
        <f>HYPERLINK("https://klasma.github.io/Logging_2482/klagomålsmail/A 35097-2019 FSC-klagomål mail.docx", "A 35097-2019")</f>
        <v/>
      </c>
      <c r="X852">
        <f>HYPERLINK("https://klasma.github.io/Logging_2482/tillsyn/A 35097-2019 tillsynsbegäran.docx", "A 35097-2019")</f>
        <v/>
      </c>
      <c r="Y852">
        <f>HYPERLINK("https://klasma.github.io/Logging_2482/tillsynsmail/A 35097-2019 tillsynsbegäran mail.docx", "A 35097-2019")</f>
        <v/>
      </c>
    </row>
    <row r="853" ht="15" customHeight="1">
      <c r="A853" t="inlineStr">
        <is>
          <t>A 42000-2019</t>
        </is>
      </c>
      <c r="B853" s="1" t="n">
        <v>43700</v>
      </c>
      <c r="C853" s="1" t="n">
        <v>45792</v>
      </c>
      <c r="D853" t="inlineStr">
        <is>
          <t>VÄSTERBOTTENS LÄN</t>
        </is>
      </c>
      <c r="E853" t="inlineStr">
        <is>
          <t>STORUMAN</t>
        </is>
      </c>
      <c r="F853" t="inlineStr">
        <is>
          <t>Holmen skog AB</t>
        </is>
      </c>
      <c r="G853" t="n">
        <v>18.4</v>
      </c>
      <c r="H853" t="n">
        <v>0</v>
      </c>
      <c r="I853" t="n">
        <v>0</v>
      </c>
      <c r="J853" t="n">
        <v>0</v>
      </c>
      <c r="K853" t="n">
        <v>2</v>
      </c>
      <c r="L853" t="n">
        <v>0</v>
      </c>
      <c r="M853" t="n">
        <v>0</v>
      </c>
      <c r="N853" t="n">
        <v>0</v>
      </c>
      <c r="O853" t="n">
        <v>2</v>
      </c>
      <c r="P853" t="n">
        <v>2</v>
      </c>
      <c r="Q853" t="n">
        <v>2</v>
      </c>
      <c r="R853" s="2" t="inlineStr">
        <is>
          <t>Liten sotlav
Ostticka</t>
        </is>
      </c>
      <c r="S853">
        <f>HYPERLINK("https://klasma.github.io/Logging_2421/artfynd/A 42000-2019 artfynd.xlsx", "A 42000-2019")</f>
        <v/>
      </c>
      <c r="T853">
        <f>HYPERLINK("https://klasma.github.io/Logging_2421/kartor/A 42000-2019 karta.png", "A 42000-2019")</f>
        <v/>
      </c>
      <c r="V853">
        <f>HYPERLINK("https://klasma.github.io/Logging_2421/klagomål/A 42000-2019 FSC-klagomål.docx", "A 42000-2019")</f>
        <v/>
      </c>
      <c r="W853">
        <f>HYPERLINK("https://klasma.github.io/Logging_2421/klagomålsmail/A 42000-2019 FSC-klagomål mail.docx", "A 42000-2019")</f>
        <v/>
      </c>
      <c r="X853">
        <f>HYPERLINK("https://klasma.github.io/Logging_2421/tillsyn/A 42000-2019 tillsynsbegäran.docx", "A 42000-2019")</f>
        <v/>
      </c>
      <c r="Y853">
        <f>HYPERLINK("https://klasma.github.io/Logging_2421/tillsynsmail/A 42000-2019 tillsynsbegäran mail.docx", "A 42000-2019")</f>
        <v/>
      </c>
    </row>
    <row r="854" ht="15" customHeight="1">
      <c r="A854" t="inlineStr">
        <is>
          <t>A 46354-2019</t>
        </is>
      </c>
      <c r="B854" s="1" t="n">
        <v>43718</v>
      </c>
      <c r="C854" s="1" t="n">
        <v>45792</v>
      </c>
      <c r="D854" t="inlineStr">
        <is>
          <t>VÄSTERBOTTENS LÄN</t>
        </is>
      </c>
      <c r="E854" t="inlineStr">
        <is>
          <t>SKELLEFTEÅ</t>
        </is>
      </c>
      <c r="F854" t="inlineStr">
        <is>
          <t>SCA</t>
        </is>
      </c>
      <c r="G854" t="n">
        <v>5.5</v>
      </c>
      <c r="H854" t="n">
        <v>2</v>
      </c>
      <c r="I854" t="n">
        <v>0</v>
      </c>
      <c r="J854" t="n">
        <v>0</v>
      </c>
      <c r="K854" t="n">
        <v>0</v>
      </c>
      <c r="L854" t="n">
        <v>0</v>
      </c>
      <c r="M854" t="n">
        <v>0</v>
      </c>
      <c r="N854" t="n">
        <v>0</v>
      </c>
      <c r="O854" t="n">
        <v>0</v>
      </c>
      <c r="P854" t="n">
        <v>0</v>
      </c>
      <c r="Q854" t="n">
        <v>2</v>
      </c>
      <c r="R854" s="2" t="inlineStr">
        <is>
          <t>Vanlig groda
Revlummer</t>
        </is>
      </c>
      <c r="S854">
        <f>HYPERLINK("https://klasma.github.io/Logging_2482/artfynd/A 46354-2019 artfynd.xlsx", "A 46354-2019")</f>
        <v/>
      </c>
      <c r="T854">
        <f>HYPERLINK("https://klasma.github.io/Logging_2482/kartor/A 46354-2019 karta.png", "A 46354-2019")</f>
        <v/>
      </c>
      <c r="V854">
        <f>HYPERLINK("https://klasma.github.io/Logging_2482/klagomål/A 46354-2019 FSC-klagomål.docx", "A 46354-2019")</f>
        <v/>
      </c>
      <c r="W854">
        <f>HYPERLINK("https://klasma.github.io/Logging_2482/klagomålsmail/A 46354-2019 FSC-klagomål mail.docx", "A 46354-2019")</f>
        <v/>
      </c>
      <c r="X854">
        <f>HYPERLINK("https://klasma.github.io/Logging_2482/tillsyn/A 46354-2019 tillsynsbegäran.docx", "A 46354-2019")</f>
        <v/>
      </c>
      <c r="Y854">
        <f>HYPERLINK("https://klasma.github.io/Logging_2482/tillsynsmail/A 46354-2019 tillsynsbegäran mail.docx", "A 46354-2019")</f>
        <v/>
      </c>
    </row>
    <row r="855" ht="15" customHeight="1">
      <c r="A855" t="inlineStr">
        <is>
          <t>A 50020-2019</t>
        </is>
      </c>
      <c r="B855" s="1" t="n">
        <v>43731</v>
      </c>
      <c r="C855" s="1" t="n">
        <v>45792</v>
      </c>
      <c r="D855" t="inlineStr">
        <is>
          <t>VÄSTERBOTTENS LÄN</t>
        </is>
      </c>
      <c r="E855" t="inlineStr">
        <is>
          <t>VILHELMINA</t>
        </is>
      </c>
      <c r="F855" t="inlineStr">
        <is>
          <t>Allmännings- och besparingsskogar</t>
        </is>
      </c>
      <c r="G855" t="n">
        <v>4</v>
      </c>
      <c r="H855" t="n">
        <v>0</v>
      </c>
      <c r="I855" t="n">
        <v>0</v>
      </c>
      <c r="J855" t="n">
        <v>2</v>
      </c>
      <c r="K855" t="n">
        <v>0</v>
      </c>
      <c r="L855" t="n">
        <v>0</v>
      </c>
      <c r="M855" t="n">
        <v>0</v>
      </c>
      <c r="N855" t="n">
        <v>0</v>
      </c>
      <c r="O855" t="n">
        <v>2</v>
      </c>
      <c r="P855" t="n">
        <v>0</v>
      </c>
      <c r="Q855" t="n">
        <v>2</v>
      </c>
      <c r="R855" s="2" t="inlineStr">
        <is>
          <t>Harticka
Rödbrun blekspik</t>
        </is>
      </c>
      <c r="S855">
        <f>HYPERLINK("https://klasma.github.io/Logging_2462/artfynd/A 50020-2019 artfynd.xlsx", "A 50020-2019")</f>
        <v/>
      </c>
      <c r="T855">
        <f>HYPERLINK("https://klasma.github.io/Logging_2462/kartor/A 50020-2019 karta.png", "A 50020-2019")</f>
        <v/>
      </c>
      <c r="V855">
        <f>HYPERLINK("https://klasma.github.io/Logging_2462/klagomål/A 50020-2019 FSC-klagomål.docx", "A 50020-2019")</f>
        <v/>
      </c>
      <c r="W855">
        <f>HYPERLINK("https://klasma.github.io/Logging_2462/klagomålsmail/A 50020-2019 FSC-klagomål mail.docx", "A 50020-2019")</f>
        <v/>
      </c>
      <c r="X855">
        <f>HYPERLINK("https://klasma.github.io/Logging_2462/tillsyn/A 50020-2019 tillsynsbegäran.docx", "A 50020-2019")</f>
        <v/>
      </c>
      <c r="Y855">
        <f>HYPERLINK("https://klasma.github.io/Logging_2462/tillsynsmail/A 50020-2019 tillsynsbegäran mail.docx", "A 50020-2019")</f>
        <v/>
      </c>
    </row>
    <row r="856" ht="15" customHeight="1">
      <c r="A856" t="inlineStr">
        <is>
          <t>A 51539-2019</t>
        </is>
      </c>
      <c r="B856" s="1" t="n">
        <v>43740</v>
      </c>
      <c r="C856" s="1" t="n">
        <v>45792</v>
      </c>
      <c r="D856" t="inlineStr">
        <is>
          <t>VÄSTERBOTTENS LÄN</t>
        </is>
      </c>
      <c r="E856" t="inlineStr">
        <is>
          <t>ROBERTSFORS</t>
        </is>
      </c>
      <c r="G856" t="n">
        <v>5</v>
      </c>
      <c r="H856" t="n">
        <v>0</v>
      </c>
      <c r="I856" t="n">
        <v>0</v>
      </c>
      <c r="J856" t="n">
        <v>2</v>
      </c>
      <c r="K856" t="n">
        <v>0</v>
      </c>
      <c r="L856" t="n">
        <v>0</v>
      </c>
      <c r="M856" t="n">
        <v>0</v>
      </c>
      <c r="N856" t="n">
        <v>0</v>
      </c>
      <c r="O856" t="n">
        <v>2</v>
      </c>
      <c r="P856" t="n">
        <v>0</v>
      </c>
      <c r="Q856" t="n">
        <v>2</v>
      </c>
      <c r="R856" s="2" t="inlineStr">
        <is>
          <t>Granticka
Stjärntagging</t>
        </is>
      </c>
      <c r="S856">
        <f>HYPERLINK("https://klasma.github.io/Logging_2409/artfynd/A 51539-2019 artfynd.xlsx", "A 51539-2019")</f>
        <v/>
      </c>
      <c r="T856">
        <f>HYPERLINK("https://klasma.github.io/Logging_2409/kartor/A 51539-2019 karta.png", "A 51539-2019")</f>
        <v/>
      </c>
      <c r="V856">
        <f>HYPERLINK("https://klasma.github.io/Logging_2409/klagomål/A 51539-2019 FSC-klagomål.docx", "A 51539-2019")</f>
        <v/>
      </c>
      <c r="W856">
        <f>HYPERLINK("https://klasma.github.io/Logging_2409/klagomålsmail/A 51539-2019 FSC-klagomål mail.docx", "A 51539-2019")</f>
        <v/>
      </c>
      <c r="X856">
        <f>HYPERLINK("https://klasma.github.io/Logging_2409/tillsyn/A 51539-2019 tillsynsbegäran.docx", "A 51539-2019")</f>
        <v/>
      </c>
      <c r="Y856">
        <f>HYPERLINK("https://klasma.github.io/Logging_2409/tillsynsmail/A 51539-2019 tillsynsbegäran mail.docx", "A 51539-2019")</f>
        <v/>
      </c>
    </row>
    <row r="857" ht="15" customHeight="1">
      <c r="A857" t="inlineStr">
        <is>
          <t>A 53694-2019</t>
        </is>
      </c>
      <c r="B857" s="1" t="n">
        <v>43749</v>
      </c>
      <c r="C857" s="1" t="n">
        <v>45792</v>
      </c>
      <c r="D857" t="inlineStr">
        <is>
          <t>VÄSTERBOTTENS LÄN</t>
        </is>
      </c>
      <c r="E857" t="inlineStr">
        <is>
          <t>NORSJÖ</t>
        </is>
      </c>
      <c r="F857" t="inlineStr">
        <is>
          <t>Holmen skog AB</t>
        </is>
      </c>
      <c r="G857" t="n">
        <v>1.8</v>
      </c>
      <c r="H857" t="n">
        <v>0</v>
      </c>
      <c r="I857" t="n">
        <v>0</v>
      </c>
      <c r="J857" t="n">
        <v>2</v>
      </c>
      <c r="K857" t="n">
        <v>0</v>
      </c>
      <c r="L857" t="n">
        <v>0</v>
      </c>
      <c r="M857" t="n">
        <v>0</v>
      </c>
      <c r="N857" t="n">
        <v>0</v>
      </c>
      <c r="O857" t="n">
        <v>2</v>
      </c>
      <c r="P857" t="n">
        <v>0</v>
      </c>
      <c r="Q857" t="n">
        <v>2</v>
      </c>
      <c r="R857" s="2" t="inlineStr">
        <is>
          <t>Granticka
Harticka</t>
        </is>
      </c>
      <c r="S857">
        <f>HYPERLINK("https://klasma.github.io/Logging_2417/artfynd/A 53694-2019 artfynd.xlsx", "A 53694-2019")</f>
        <v/>
      </c>
      <c r="T857">
        <f>HYPERLINK("https://klasma.github.io/Logging_2417/kartor/A 53694-2019 karta.png", "A 53694-2019")</f>
        <v/>
      </c>
      <c r="V857">
        <f>HYPERLINK("https://klasma.github.io/Logging_2417/klagomål/A 53694-2019 FSC-klagomål.docx", "A 53694-2019")</f>
        <v/>
      </c>
      <c r="W857">
        <f>HYPERLINK("https://klasma.github.io/Logging_2417/klagomålsmail/A 53694-2019 FSC-klagomål mail.docx", "A 53694-2019")</f>
        <v/>
      </c>
      <c r="X857">
        <f>HYPERLINK("https://klasma.github.io/Logging_2417/tillsyn/A 53694-2019 tillsynsbegäran.docx", "A 53694-2019")</f>
        <v/>
      </c>
      <c r="Y857">
        <f>HYPERLINK("https://klasma.github.io/Logging_2417/tillsynsmail/A 53694-2019 tillsynsbegäran mail.docx", "A 53694-2019")</f>
        <v/>
      </c>
    </row>
    <row r="858" ht="15" customHeight="1">
      <c r="A858" t="inlineStr">
        <is>
          <t>A 58398-2019</t>
        </is>
      </c>
      <c r="B858" s="1" t="n">
        <v>43772</v>
      </c>
      <c r="C858" s="1" t="n">
        <v>45792</v>
      </c>
      <c r="D858" t="inlineStr">
        <is>
          <t>VÄSTERBOTTENS LÄN</t>
        </is>
      </c>
      <c r="E858" t="inlineStr">
        <is>
          <t>BJURHOLM</t>
        </is>
      </c>
      <c r="G858" t="n">
        <v>13.8</v>
      </c>
      <c r="H858" t="n">
        <v>0</v>
      </c>
      <c r="I858" t="n">
        <v>0</v>
      </c>
      <c r="J858" t="n">
        <v>2</v>
      </c>
      <c r="K858" t="n">
        <v>0</v>
      </c>
      <c r="L858" t="n">
        <v>0</v>
      </c>
      <c r="M858" t="n">
        <v>0</v>
      </c>
      <c r="N858" t="n">
        <v>0</v>
      </c>
      <c r="O858" t="n">
        <v>2</v>
      </c>
      <c r="P858" t="n">
        <v>0</v>
      </c>
      <c r="Q858" t="n">
        <v>2</v>
      </c>
      <c r="R858" s="2" t="inlineStr">
        <is>
          <t>Granticka
Tallticka</t>
        </is>
      </c>
      <c r="S858">
        <f>HYPERLINK("https://klasma.github.io/Logging_2403/artfynd/A 58398-2019 artfynd.xlsx", "A 58398-2019")</f>
        <v/>
      </c>
      <c r="T858">
        <f>HYPERLINK("https://klasma.github.io/Logging_2403/kartor/A 58398-2019 karta.png", "A 58398-2019")</f>
        <v/>
      </c>
      <c r="V858">
        <f>HYPERLINK("https://klasma.github.io/Logging_2403/klagomål/A 58398-2019 FSC-klagomål.docx", "A 58398-2019")</f>
        <v/>
      </c>
      <c r="W858">
        <f>HYPERLINK("https://klasma.github.io/Logging_2403/klagomålsmail/A 58398-2019 FSC-klagomål mail.docx", "A 58398-2019")</f>
        <v/>
      </c>
      <c r="X858">
        <f>HYPERLINK("https://klasma.github.io/Logging_2403/tillsyn/A 58398-2019 tillsynsbegäran.docx", "A 58398-2019")</f>
        <v/>
      </c>
      <c r="Y858">
        <f>HYPERLINK("https://klasma.github.io/Logging_2403/tillsynsmail/A 58398-2019 tillsynsbegäran mail.docx", "A 58398-2019")</f>
        <v/>
      </c>
    </row>
    <row r="859" ht="15" customHeight="1">
      <c r="A859" t="inlineStr">
        <is>
          <t>A 63400-2019</t>
        </is>
      </c>
      <c r="B859" s="1" t="n">
        <v>43787</v>
      </c>
      <c r="C859" s="1" t="n">
        <v>45792</v>
      </c>
      <c r="D859" t="inlineStr">
        <is>
          <t>VÄSTERBOTTENS LÄN</t>
        </is>
      </c>
      <c r="E859" t="inlineStr">
        <is>
          <t>ROBERTSFORS</t>
        </is>
      </c>
      <c r="F859" t="inlineStr">
        <is>
          <t>SCA</t>
        </is>
      </c>
      <c r="G859" t="n">
        <v>2.1</v>
      </c>
      <c r="H859" t="n">
        <v>0</v>
      </c>
      <c r="I859" t="n">
        <v>0</v>
      </c>
      <c r="J859" t="n">
        <v>2</v>
      </c>
      <c r="K859" t="n">
        <v>0</v>
      </c>
      <c r="L859" t="n">
        <v>0</v>
      </c>
      <c r="M859" t="n">
        <v>0</v>
      </c>
      <c r="N859" t="n">
        <v>0</v>
      </c>
      <c r="O859" t="n">
        <v>2</v>
      </c>
      <c r="P859" t="n">
        <v>0</v>
      </c>
      <c r="Q859" t="n">
        <v>2</v>
      </c>
      <c r="R859" s="2" t="inlineStr">
        <is>
          <t>Nordtagging
Vaddporing</t>
        </is>
      </c>
      <c r="S859">
        <f>HYPERLINK("https://klasma.github.io/Logging_2409/artfynd/A 63400-2019 artfynd.xlsx", "A 63400-2019")</f>
        <v/>
      </c>
      <c r="T859">
        <f>HYPERLINK("https://klasma.github.io/Logging_2409/kartor/A 63400-2019 karta.png", "A 63400-2019")</f>
        <v/>
      </c>
      <c r="V859">
        <f>HYPERLINK("https://klasma.github.io/Logging_2409/klagomål/A 63400-2019 FSC-klagomål.docx", "A 63400-2019")</f>
        <v/>
      </c>
      <c r="W859">
        <f>HYPERLINK("https://klasma.github.io/Logging_2409/klagomålsmail/A 63400-2019 FSC-klagomål mail.docx", "A 63400-2019")</f>
        <v/>
      </c>
      <c r="X859">
        <f>HYPERLINK("https://klasma.github.io/Logging_2409/tillsyn/A 63400-2019 tillsynsbegäran.docx", "A 63400-2019")</f>
        <v/>
      </c>
      <c r="Y859">
        <f>HYPERLINK("https://klasma.github.io/Logging_2409/tillsynsmail/A 63400-2019 tillsynsbegäran mail.docx", "A 63400-2019")</f>
        <v/>
      </c>
    </row>
    <row r="860" ht="15" customHeight="1">
      <c r="A860" t="inlineStr">
        <is>
          <t>A 64461-2019</t>
        </is>
      </c>
      <c r="B860" s="1" t="n">
        <v>43797</v>
      </c>
      <c r="C860" s="1" t="n">
        <v>45792</v>
      </c>
      <c r="D860" t="inlineStr">
        <is>
          <t>VÄSTERBOTTENS LÄN</t>
        </is>
      </c>
      <c r="E860" t="inlineStr">
        <is>
          <t>VINDELN</t>
        </is>
      </c>
      <c r="F860" t="inlineStr">
        <is>
          <t>SCA</t>
        </is>
      </c>
      <c r="G860" t="n">
        <v>4.4</v>
      </c>
      <c r="H860" t="n">
        <v>1</v>
      </c>
      <c r="I860" t="n">
        <v>0</v>
      </c>
      <c r="J860" t="n">
        <v>2</v>
      </c>
      <c r="K860" t="n">
        <v>0</v>
      </c>
      <c r="L860" t="n">
        <v>0</v>
      </c>
      <c r="M860" t="n">
        <v>0</v>
      </c>
      <c r="N860" t="n">
        <v>0</v>
      </c>
      <c r="O860" t="n">
        <v>2</v>
      </c>
      <c r="P860" t="n">
        <v>0</v>
      </c>
      <c r="Q860" t="n">
        <v>2</v>
      </c>
      <c r="R860" s="2" t="inlineStr">
        <is>
          <t>Garnlav
Talltita</t>
        </is>
      </c>
      <c r="S860">
        <f>HYPERLINK("https://klasma.github.io/Logging_2404/artfynd/A 64461-2019 artfynd.xlsx", "A 64461-2019")</f>
        <v/>
      </c>
      <c r="T860">
        <f>HYPERLINK("https://klasma.github.io/Logging_2404/kartor/A 64461-2019 karta.png", "A 64461-2019")</f>
        <v/>
      </c>
      <c r="V860">
        <f>HYPERLINK("https://klasma.github.io/Logging_2404/klagomål/A 64461-2019 FSC-klagomål.docx", "A 64461-2019")</f>
        <v/>
      </c>
      <c r="W860">
        <f>HYPERLINK("https://klasma.github.io/Logging_2404/klagomålsmail/A 64461-2019 FSC-klagomål mail.docx", "A 64461-2019")</f>
        <v/>
      </c>
      <c r="X860">
        <f>HYPERLINK("https://klasma.github.io/Logging_2404/tillsyn/A 64461-2019 tillsynsbegäran.docx", "A 64461-2019")</f>
        <v/>
      </c>
      <c r="Y860">
        <f>HYPERLINK("https://klasma.github.io/Logging_2404/tillsynsmail/A 64461-2019 tillsynsbegäran mail.docx", "A 64461-2019")</f>
        <v/>
      </c>
      <c r="Z860">
        <f>HYPERLINK("https://klasma.github.io/Logging_2404/fåglar/A 64461-2019 prioriterade fågelarter.docx", "A 64461-2019")</f>
        <v/>
      </c>
    </row>
    <row r="861" ht="15" customHeight="1">
      <c r="A861" t="inlineStr">
        <is>
          <t>A 66455-2019</t>
        </is>
      </c>
      <c r="B861" s="1" t="n">
        <v>43802</v>
      </c>
      <c r="C861" s="1" t="n">
        <v>45792</v>
      </c>
      <c r="D861" t="inlineStr">
        <is>
          <t>VÄSTERBOTTENS LÄN</t>
        </is>
      </c>
      <c r="E861" t="inlineStr">
        <is>
          <t>UMEÅ</t>
        </is>
      </c>
      <c r="G861" t="n">
        <v>0.9</v>
      </c>
      <c r="H861" t="n">
        <v>1</v>
      </c>
      <c r="I861" t="n">
        <v>0</v>
      </c>
      <c r="J861" t="n">
        <v>2</v>
      </c>
      <c r="K861" t="n">
        <v>0</v>
      </c>
      <c r="L861" t="n">
        <v>0</v>
      </c>
      <c r="M861" t="n">
        <v>0</v>
      </c>
      <c r="N861" t="n">
        <v>0</v>
      </c>
      <c r="O861" t="n">
        <v>2</v>
      </c>
      <c r="P861" t="n">
        <v>0</v>
      </c>
      <c r="Q861" t="n">
        <v>2</v>
      </c>
      <c r="R861" s="2" t="inlineStr">
        <is>
          <t>Garnlav
Spillkråka</t>
        </is>
      </c>
      <c r="S861">
        <f>HYPERLINK("https://klasma.github.io/Logging_2480/artfynd/A 66455-2019 artfynd.xlsx", "A 66455-2019")</f>
        <v/>
      </c>
      <c r="T861">
        <f>HYPERLINK("https://klasma.github.io/Logging_2480/kartor/A 66455-2019 karta.png", "A 66455-2019")</f>
        <v/>
      </c>
      <c r="V861">
        <f>HYPERLINK("https://klasma.github.io/Logging_2480/klagomål/A 66455-2019 FSC-klagomål.docx", "A 66455-2019")</f>
        <v/>
      </c>
      <c r="W861">
        <f>HYPERLINK("https://klasma.github.io/Logging_2480/klagomålsmail/A 66455-2019 FSC-klagomål mail.docx", "A 66455-2019")</f>
        <v/>
      </c>
      <c r="X861">
        <f>HYPERLINK("https://klasma.github.io/Logging_2480/tillsyn/A 66455-2019 tillsynsbegäran.docx", "A 66455-2019")</f>
        <v/>
      </c>
      <c r="Y861">
        <f>HYPERLINK("https://klasma.github.io/Logging_2480/tillsynsmail/A 66455-2019 tillsynsbegäran mail.docx", "A 66455-2019")</f>
        <v/>
      </c>
      <c r="Z861">
        <f>HYPERLINK("https://klasma.github.io/Logging_2480/fåglar/A 66455-2019 prioriterade fågelarter.docx", "A 66455-2019")</f>
        <v/>
      </c>
    </row>
    <row r="862" ht="15" customHeight="1">
      <c r="A862" t="inlineStr">
        <is>
          <t>A 65569-2019</t>
        </is>
      </c>
      <c r="B862" s="1" t="n">
        <v>43803</v>
      </c>
      <c r="C862" s="1" t="n">
        <v>45792</v>
      </c>
      <c r="D862" t="inlineStr">
        <is>
          <t>VÄSTERBOTTENS LÄN</t>
        </is>
      </c>
      <c r="E862" t="inlineStr">
        <is>
          <t>DOROTEA</t>
        </is>
      </c>
      <c r="F862" t="inlineStr">
        <is>
          <t>SCA</t>
        </is>
      </c>
      <c r="G862" t="n">
        <v>5.1</v>
      </c>
      <c r="H862" t="n">
        <v>0</v>
      </c>
      <c r="I862" t="n">
        <v>0</v>
      </c>
      <c r="J862" t="n">
        <v>1</v>
      </c>
      <c r="K862" t="n">
        <v>0</v>
      </c>
      <c r="L862" t="n">
        <v>1</v>
      </c>
      <c r="M862" t="n">
        <v>0</v>
      </c>
      <c r="N862" t="n">
        <v>0</v>
      </c>
      <c r="O862" t="n">
        <v>2</v>
      </c>
      <c r="P862" t="n">
        <v>1</v>
      </c>
      <c r="Q862" t="n">
        <v>2</v>
      </c>
      <c r="R862" s="2" t="inlineStr">
        <is>
          <t>Raggtaggsvamp
Knottrig blåslav</t>
        </is>
      </c>
      <c r="S862">
        <f>HYPERLINK("https://klasma.github.io/Logging_2425/artfynd/A 65569-2019 artfynd.xlsx", "A 65569-2019")</f>
        <v/>
      </c>
      <c r="T862">
        <f>HYPERLINK("https://klasma.github.io/Logging_2425/kartor/A 65569-2019 karta.png", "A 65569-2019")</f>
        <v/>
      </c>
      <c r="V862">
        <f>HYPERLINK("https://klasma.github.io/Logging_2425/klagomål/A 65569-2019 FSC-klagomål.docx", "A 65569-2019")</f>
        <v/>
      </c>
      <c r="W862">
        <f>HYPERLINK("https://klasma.github.io/Logging_2425/klagomålsmail/A 65569-2019 FSC-klagomål mail.docx", "A 65569-2019")</f>
        <v/>
      </c>
      <c r="X862">
        <f>HYPERLINK("https://klasma.github.io/Logging_2425/tillsyn/A 65569-2019 tillsynsbegäran.docx", "A 65569-2019")</f>
        <v/>
      </c>
      <c r="Y862">
        <f>HYPERLINK("https://klasma.github.io/Logging_2425/tillsynsmail/A 65569-2019 tillsynsbegäran mail.docx", "A 65569-2019")</f>
        <v/>
      </c>
    </row>
    <row r="863" ht="15" customHeight="1">
      <c r="A863" t="inlineStr">
        <is>
          <t>A 65564-2019</t>
        </is>
      </c>
      <c r="B863" s="1" t="n">
        <v>43803</v>
      </c>
      <c r="C863" s="1" t="n">
        <v>45792</v>
      </c>
      <c r="D863" t="inlineStr">
        <is>
          <t>VÄSTERBOTTENS LÄN</t>
        </is>
      </c>
      <c r="E863" t="inlineStr">
        <is>
          <t>DOROTEA</t>
        </is>
      </c>
      <c r="F863" t="inlineStr">
        <is>
          <t>SCA</t>
        </is>
      </c>
      <c r="G863" t="n">
        <v>6.6</v>
      </c>
      <c r="H863" t="n">
        <v>0</v>
      </c>
      <c r="I863" t="n">
        <v>0</v>
      </c>
      <c r="J863" t="n">
        <v>2</v>
      </c>
      <c r="K863" t="n">
        <v>0</v>
      </c>
      <c r="L863" t="n">
        <v>0</v>
      </c>
      <c r="M863" t="n">
        <v>0</v>
      </c>
      <c r="N863" t="n">
        <v>0</v>
      </c>
      <c r="O863" t="n">
        <v>2</v>
      </c>
      <c r="P863" t="n">
        <v>0</v>
      </c>
      <c r="Q863" t="n">
        <v>2</v>
      </c>
      <c r="R863" s="2" t="inlineStr">
        <is>
          <t>Doftskinn
Knottrig blåslav</t>
        </is>
      </c>
      <c r="S863">
        <f>HYPERLINK("https://klasma.github.io/Logging_2425/artfynd/A 65564-2019 artfynd.xlsx", "A 65564-2019")</f>
        <v/>
      </c>
      <c r="T863">
        <f>HYPERLINK("https://klasma.github.io/Logging_2425/kartor/A 65564-2019 karta.png", "A 65564-2019")</f>
        <v/>
      </c>
      <c r="V863">
        <f>HYPERLINK("https://klasma.github.io/Logging_2425/klagomål/A 65564-2019 FSC-klagomål.docx", "A 65564-2019")</f>
        <v/>
      </c>
      <c r="W863">
        <f>HYPERLINK("https://klasma.github.io/Logging_2425/klagomålsmail/A 65564-2019 FSC-klagomål mail.docx", "A 65564-2019")</f>
        <v/>
      </c>
      <c r="X863">
        <f>HYPERLINK("https://klasma.github.io/Logging_2425/tillsyn/A 65564-2019 tillsynsbegäran.docx", "A 65564-2019")</f>
        <v/>
      </c>
      <c r="Y863">
        <f>HYPERLINK("https://klasma.github.io/Logging_2425/tillsynsmail/A 65564-2019 tillsynsbegäran mail.docx", "A 65564-2019")</f>
        <v/>
      </c>
    </row>
    <row r="864" ht="15" customHeight="1">
      <c r="A864" t="inlineStr">
        <is>
          <t>A 65623-2019</t>
        </is>
      </c>
      <c r="B864" s="1" t="n">
        <v>43804</v>
      </c>
      <c r="C864" s="1" t="n">
        <v>45792</v>
      </c>
      <c r="D864" t="inlineStr">
        <is>
          <t>VÄSTERBOTTENS LÄN</t>
        </is>
      </c>
      <c r="E864" t="inlineStr">
        <is>
          <t>SKELLEFTEÅ</t>
        </is>
      </c>
      <c r="G864" t="n">
        <v>1.2</v>
      </c>
      <c r="H864" t="n">
        <v>0</v>
      </c>
      <c r="I864" t="n">
        <v>1</v>
      </c>
      <c r="J864" t="n">
        <v>1</v>
      </c>
      <c r="K864" t="n">
        <v>0</v>
      </c>
      <c r="L864" t="n">
        <v>0</v>
      </c>
      <c r="M864" t="n">
        <v>0</v>
      </c>
      <c r="N864" t="n">
        <v>0</v>
      </c>
      <c r="O864" t="n">
        <v>1</v>
      </c>
      <c r="P864" t="n">
        <v>0</v>
      </c>
      <c r="Q864" t="n">
        <v>2</v>
      </c>
      <c r="R864" s="2" t="inlineStr">
        <is>
          <t>Granticka
Vedticka</t>
        </is>
      </c>
      <c r="S864">
        <f>HYPERLINK("https://klasma.github.io/Logging_2482/artfynd/A 65623-2019 artfynd.xlsx", "A 65623-2019")</f>
        <v/>
      </c>
      <c r="T864">
        <f>HYPERLINK("https://klasma.github.io/Logging_2482/kartor/A 65623-2019 karta.png", "A 65623-2019")</f>
        <v/>
      </c>
      <c r="V864">
        <f>HYPERLINK("https://klasma.github.io/Logging_2482/klagomål/A 65623-2019 FSC-klagomål.docx", "A 65623-2019")</f>
        <v/>
      </c>
      <c r="W864">
        <f>HYPERLINK("https://klasma.github.io/Logging_2482/klagomålsmail/A 65623-2019 FSC-klagomål mail.docx", "A 65623-2019")</f>
        <v/>
      </c>
      <c r="X864">
        <f>HYPERLINK("https://klasma.github.io/Logging_2482/tillsyn/A 65623-2019 tillsynsbegäran.docx", "A 65623-2019")</f>
        <v/>
      </c>
      <c r="Y864">
        <f>HYPERLINK("https://klasma.github.io/Logging_2482/tillsynsmail/A 65623-2019 tillsynsbegäran mail.docx", "A 65623-2019")</f>
        <v/>
      </c>
    </row>
    <row r="865" ht="15" customHeight="1">
      <c r="A865" t="inlineStr">
        <is>
          <t>A 3124-2020</t>
        </is>
      </c>
      <c r="B865" s="1" t="n">
        <v>43843</v>
      </c>
      <c r="C865" s="1" t="n">
        <v>45792</v>
      </c>
      <c r="D865" t="inlineStr">
        <is>
          <t>VÄSTERBOTTENS LÄN</t>
        </is>
      </c>
      <c r="E865" t="inlineStr">
        <is>
          <t>NORDMALING</t>
        </is>
      </c>
      <c r="G865" t="n">
        <v>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HYPERLINK("https://klasma.github.io/Logging_2401/artfynd/A 3124-2020 artfynd.xlsx", "A 3124-2020")</f>
        <v/>
      </c>
      <c r="T865">
        <f>HYPERLINK("https://klasma.github.io/Logging_2401/kartor/A 3124-2020 karta.png", "A 3124-2020")</f>
        <v/>
      </c>
      <c r="V865">
        <f>HYPERLINK("https://klasma.github.io/Logging_2401/klagomål/A 3124-2020 FSC-klagomål.docx", "A 3124-2020")</f>
        <v/>
      </c>
      <c r="W865">
        <f>HYPERLINK("https://klasma.github.io/Logging_2401/klagomålsmail/A 3124-2020 FSC-klagomål mail.docx", "A 3124-2020")</f>
        <v/>
      </c>
      <c r="X865">
        <f>HYPERLINK("https://klasma.github.io/Logging_2401/tillsyn/A 3124-2020 tillsynsbegäran.docx", "A 3124-2020")</f>
        <v/>
      </c>
      <c r="Y865">
        <f>HYPERLINK("https://klasma.github.io/Logging_2401/tillsynsmail/A 3124-2020 tillsynsbegäran mail.docx", "A 3124-2020")</f>
        <v/>
      </c>
    </row>
    <row r="866" ht="15" customHeight="1">
      <c r="A866" t="inlineStr">
        <is>
          <t>A 17776-2020</t>
        </is>
      </c>
      <c r="B866" s="1" t="n">
        <v>43923</v>
      </c>
      <c r="C866" s="1" t="n">
        <v>45792</v>
      </c>
      <c r="D866" t="inlineStr">
        <is>
          <t>VÄSTERBOTTENS LÄN</t>
        </is>
      </c>
      <c r="E866" t="inlineStr">
        <is>
          <t>VILHELMINA</t>
        </is>
      </c>
      <c r="F866" t="inlineStr">
        <is>
          <t>Allmännings- och besparingsskogar</t>
        </is>
      </c>
      <c r="G866" t="n">
        <v>1</v>
      </c>
      <c r="H866" t="n">
        <v>0</v>
      </c>
      <c r="I866" t="n">
        <v>0</v>
      </c>
      <c r="J866" t="n">
        <v>2</v>
      </c>
      <c r="K866" t="n">
        <v>0</v>
      </c>
      <c r="L866" t="n">
        <v>0</v>
      </c>
      <c r="M866" t="n">
        <v>0</v>
      </c>
      <c r="N866" t="n">
        <v>0</v>
      </c>
      <c r="O866" t="n">
        <v>2</v>
      </c>
      <c r="P866" t="n">
        <v>0</v>
      </c>
      <c r="Q866" t="n">
        <v>2</v>
      </c>
      <c r="R866" s="2" t="inlineStr">
        <is>
          <t>Lunglav
Skrovellav</t>
        </is>
      </c>
      <c r="S866">
        <f>HYPERLINK("https://klasma.github.io/Logging_2462/artfynd/A 17776-2020 artfynd.xlsx", "A 17776-2020")</f>
        <v/>
      </c>
      <c r="T866">
        <f>HYPERLINK("https://klasma.github.io/Logging_2462/kartor/A 17776-2020 karta.png", "A 17776-2020")</f>
        <v/>
      </c>
      <c r="V866">
        <f>HYPERLINK("https://klasma.github.io/Logging_2462/klagomål/A 17776-2020 FSC-klagomål.docx", "A 17776-2020")</f>
        <v/>
      </c>
      <c r="W866">
        <f>HYPERLINK("https://klasma.github.io/Logging_2462/klagomålsmail/A 17776-2020 FSC-klagomål mail.docx", "A 17776-2020")</f>
        <v/>
      </c>
      <c r="X866">
        <f>HYPERLINK("https://klasma.github.io/Logging_2462/tillsyn/A 17776-2020 tillsynsbegäran.docx", "A 17776-2020")</f>
        <v/>
      </c>
      <c r="Y866">
        <f>HYPERLINK("https://klasma.github.io/Logging_2462/tillsynsmail/A 17776-2020 tillsynsbegäran mail.docx", "A 17776-2020")</f>
        <v/>
      </c>
    </row>
    <row r="867" ht="15" customHeight="1">
      <c r="A867" t="inlineStr">
        <is>
          <t>A 17910-2020</t>
        </is>
      </c>
      <c r="B867" s="1" t="n">
        <v>43924</v>
      </c>
      <c r="C867" s="1" t="n">
        <v>45792</v>
      </c>
      <c r="D867" t="inlineStr">
        <is>
          <t>VÄSTERBOTTENS LÄN</t>
        </is>
      </c>
      <c r="E867" t="inlineStr">
        <is>
          <t>VILHELMINA</t>
        </is>
      </c>
      <c r="F867" t="inlineStr">
        <is>
          <t>SCA</t>
        </is>
      </c>
      <c r="G867" t="n">
        <v>6.8</v>
      </c>
      <c r="H867" t="n">
        <v>0</v>
      </c>
      <c r="I867" t="n">
        <v>0</v>
      </c>
      <c r="J867" t="n">
        <v>2</v>
      </c>
      <c r="K867" t="n">
        <v>0</v>
      </c>
      <c r="L867" t="n">
        <v>0</v>
      </c>
      <c r="M867" t="n">
        <v>0</v>
      </c>
      <c r="N867" t="n">
        <v>0</v>
      </c>
      <c r="O867" t="n">
        <v>2</v>
      </c>
      <c r="P867" t="n">
        <v>0</v>
      </c>
      <c r="Q867" t="n">
        <v>2</v>
      </c>
      <c r="R867" s="2" t="inlineStr">
        <is>
          <t>Lunglav
Skrovellav</t>
        </is>
      </c>
      <c r="S867">
        <f>HYPERLINK("https://klasma.github.io/Logging_2462/artfynd/A 17910-2020 artfynd.xlsx", "A 17910-2020")</f>
        <v/>
      </c>
      <c r="T867">
        <f>HYPERLINK("https://klasma.github.io/Logging_2462/kartor/A 17910-2020 karta.png", "A 17910-2020")</f>
        <v/>
      </c>
      <c r="V867">
        <f>HYPERLINK("https://klasma.github.io/Logging_2462/klagomål/A 17910-2020 FSC-klagomål.docx", "A 17910-2020")</f>
        <v/>
      </c>
      <c r="W867">
        <f>HYPERLINK("https://klasma.github.io/Logging_2462/klagomålsmail/A 17910-2020 FSC-klagomål mail.docx", "A 17910-2020")</f>
        <v/>
      </c>
      <c r="X867">
        <f>HYPERLINK("https://klasma.github.io/Logging_2462/tillsyn/A 17910-2020 tillsynsbegäran.docx", "A 17910-2020")</f>
        <v/>
      </c>
      <c r="Y867">
        <f>HYPERLINK("https://klasma.github.io/Logging_2462/tillsynsmail/A 17910-2020 tillsynsbegäran mail.docx", "A 17910-2020")</f>
        <v/>
      </c>
    </row>
    <row r="868" ht="15" customHeight="1">
      <c r="A868" t="inlineStr">
        <is>
          <t>A 20878-2020</t>
        </is>
      </c>
      <c r="B868" s="1" t="n">
        <v>43949</v>
      </c>
      <c r="C868" s="1" t="n">
        <v>45792</v>
      </c>
      <c r="D868" t="inlineStr">
        <is>
          <t>VÄSTERBOTTENS LÄN</t>
        </is>
      </c>
      <c r="E868" t="inlineStr">
        <is>
          <t>DOROTEA</t>
        </is>
      </c>
      <c r="G868" t="n">
        <v>8.800000000000001</v>
      </c>
      <c r="H868" t="n">
        <v>0</v>
      </c>
      <c r="I868" t="n">
        <v>0</v>
      </c>
      <c r="J868" t="n">
        <v>2</v>
      </c>
      <c r="K868" t="n">
        <v>0</v>
      </c>
      <c r="L868" t="n">
        <v>0</v>
      </c>
      <c r="M868" t="n">
        <v>0</v>
      </c>
      <c r="N868" t="n">
        <v>0</v>
      </c>
      <c r="O868" t="n">
        <v>2</v>
      </c>
      <c r="P868" t="n">
        <v>0</v>
      </c>
      <c r="Q868" t="n">
        <v>2</v>
      </c>
      <c r="R868" s="2" t="inlineStr">
        <is>
          <t>Garnlav
Granticka</t>
        </is>
      </c>
      <c r="S868">
        <f>HYPERLINK("https://klasma.github.io/Logging_2425/artfynd/A 20878-2020 artfynd.xlsx", "A 20878-2020")</f>
        <v/>
      </c>
      <c r="T868">
        <f>HYPERLINK("https://klasma.github.io/Logging_2425/kartor/A 20878-2020 karta.png", "A 20878-2020")</f>
        <v/>
      </c>
      <c r="V868">
        <f>HYPERLINK("https://klasma.github.io/Logging_2425/klagomål/A 20878-2020 FSC-klagomål.docx", "A 20878-2020")</f>
        <v/>
      </c>
      <c r="W868">
        <f>HYPERLINK("https://klasma.github.io/Logging_2425/klagomålsmail/A 20878-2020 FSC-klagomål mail.docx", "A 20878-2020")</f>
        <v/>
      </c>
      <c r="X868">
        <f>HYPERLINK("https://klasma.github.io/Logging_2425/tillsyn/A 20878-2020 tillsynsbegäran.docx", "A 20878-2020")</f>
        <v/>
      </c>
      <c r="Y868">
        <f>HYPERLINK("https://klasma.github.io/Logging_2425/tillsynsmail/A 20878-2020 tillsynsbegäran mail.docx", "A 20878-2020")</f>
        <v/>
      </c>
    </row>
    <row r="869" ht="15" customHeight="1">
      <c r="A869" t="inlineStr">
        <is>
          <t>A 25026-2020</t>
        </is>
      </c>
      <c r="B869" s="1" t="n">
        <v>43979</v>
      </c>
      <c r="C869" s="1" t="n">
        <v>45792</v>
      </c>
      <c r="D869" t="inlineStr">
        <is>
          <t>VÄSTERBOTTENS LÄN</t>
        </is>
      </c>
      <c r="E869" t="inlineStr">
        <is>
          <t>MALÅ</t>
        </is>
      </c>
      <c r="F869" t="inlineStr">
        <is>
          <t>Sveaskog</t>
        </is>
      </c>
      <c r="G869" t="n">
        <v>14.3</v>
      </c>
      <c r="H869" t="n">
        <v>0</v>
      </c>
      <c r="I869" t="n">
        <v>0</v>
      </c>
      <c r="J869" t="n">
        <v>2</v>
      </c>
      <c r="K869" t="n">
        <v>0</v>
      </c>
      <c r="L869" t="n">
        <v>0</v>
      </c>
      <c r="M869" t="n">
        <v>0</v>
      </c>
      <c r="N869" t="n">
        <v>0</v>
      </c>
      <c r="O869" t="n">
        <v>2</v>
      </c>
      <c r="P869" t="n">
        <v>0</v>
      </c>
      <c r="Q869" t="n">
        <v>2</v>
      </c>
      <c r="R869" s="2" t="inlineStr">
        <is>
          <t>Nepachys cardiacae
Slät tallkapuschongbagge</t>
        </is>
      </c>
      <c r="S869">
        <f>HYPERLINK("https://klasma.github.io/Logging_2418/artfynd/A 25026-2020 artfynd.xlsx", "A 25026-2020")</f>
        <v/>
      </c>
      <c r="T869">
        <f>HYPERLINK("https://klasma.github.io/Logging_2418/kartor/A 25026-2020 karta.png", "A 25026-2020")</f>
        <v/>
      </c>
      <c r="V869">
        <f>HYPERLINK("https://klasma.github.io/Logging_2418/klagomål/A 25026-2020 FSC-klagomål.docx", "A 25026-2020")</f>
        <v/>
      </c>
      <c r="W869">
        <f>HYPERLINK("https://klasma.github.io/Logging_2418/klagomålsmail/A 25026-2020 FSC-klagomål mail.docx", "A 25026-2020")</f>
        <v/>
      </c>
      <c r="X869">
        <f>HYPERLINK("https://klasma.github.io/Logging_2418/tillsyn/A 25026-2020 tillsynsbegäran.docx", "A 25026-2020")</f>
        <v/>
      </c>
      <c r="Y869">
        <f>HYPERLINK("https://klasma.github.io/Logging_2418/tillsynsmail/A 25026-2020 tillsynsbegäran mail.docx", "A 25026-2020")</f>
        <v/>
      </c>
    </row>
    <row r="870" ht="15" customHeight="1">
      <c r="A870" t="inlineStr">
        <is>
          <t>A 32445-2020</t>
        </is>
      </c>
      <c r="B870" s="1" t="n">
        <v>44015</v>
      </c>
      <c r="C870" s="1" t="n">
        <v>45792</v>
      </c>
      <c r="D870" t="inlineStr">
        <is>
          <t>VÄSTERBOTTENS LÄN</t>
        </is>
      </c>
      <c r="E870" t="inlineStr">
        <is>
          <t>ÅSELE</t>
        </is>
      </c>
      <c r="G870" t="n">
        <v>2.5</v>
      </c>
      <c r="H870" t="n">
        <v>0</v>
      </c>
      <c r="I870" t="n">
        <v>0</v>
      </c>
      <c r="J870" t="n">
        <v>2</v>
      </c>
      <c r="K870" t="n">
        <v>0</v>
      </c>
      <c r="L870" t="n">
        <v>0</v>
      </c>
      <c r="M870" t="n">
        <v>0</v>
      </c>
      <c r="N870" t="n">
        <v>0</v>
      </c>
      <c r="O870" t="n">
        <v>2</v>
      </c>
      <c r="P870" t="n">
        <v>0</v>
      </c>
      <c r="Q870" t="n">
        <v>2</v>
      </c>
      <c r="R870" s="2" t="inlineStr">
        <is>
          <t>Dvärgbägarlav
Ullticka</t>
        </is>
      </c>
      <c r="S870">
        <f>HYPERLINK("https://klasma.github.io/Logging_2463/artfynd/A 32445-2020 artfynd.xlsx", "A 32445-2020")</f>
        <v/>
      </c>
      <c r="T870">
        <f>HYPERLINK("https://klasma.github.io/Logging_2463/kartor/A 32445-2020 karta.png", "A 32445-2020")</f>
        <v/>
      </c>
      <c r="V870">
        <f>HYPERLINK("https://klasma.github.io/Logging_2463/klagomål/A 32445-2020 FSC-klagomål.docx", "A 32445-2020")</f>
        <v/>
      </c>
      <c r="W870">
        <f>HYPERLINK("https://klasma.github.io/Logging_2463/klagomålsmail/A 32445-2020 FSC-klagomål mail.docx", "A 32445-2020")</f>
        <v/>
      </c>
      <c r="X870">
        <f>HYPERLINK("https://klasma.github.io/Logging_2463/tillsyn/A 32445-2020 tillsynsbegäran.docx", "A 32445-2020")</f>
        <v/>
      </c>
      <c r="Y870">
        <f>HYPERLINK("https://klasma.github.io/Logging_2463/tillsynsmail/A 32445-2020 tillsynsbegäran mail.docx", "A 32445-2020")</f>
        <v/>
      </c>
    </row>
    <row r="871" ht="15" customHeight="1">
      <c r="A871" t="inlineStr">
        <is>
          <t>A 34276-2020</t>
        </is>
      </c>
      <c r="B871" s="1" t="n">
        <v>44029</v>
      </c>
      <c r="C871" s="1" t="n">
        <v>45792</v>
      </c>
      <c r="D871" t="inlineStr">
        <is>
          <t>VÄSTERBOTTENS LÄN</t>
        </is>
      </c>
      <c r="E871" t="inlineStr">
        <is>
          <t>STORUMAN</t>
        </is>
      </c>
      <c r="F871" t="inlineStr">
        <is>
          <t>SCA</t>
        </is>
      </c>
      <c r="G871" t="n">
        <v>3.5</v>
      </c>
      <c r="H871" t="n">
        <v>1</v>
      </c>
      <c r="I871" t="n">
        <v>0</v>
      </c>
      <c r="J871" t="n">
        <v>1</v>
      </c>
      <c r="K871" t="n">
        <v>1</v>
      </c>
      <c r="L871" t="n">
        <v>0</v>
      </c>
      <c r="M871" t="n">
        <v>0</v>
      </c>
      <c r="N871" t="n">
        <v>0</v>
      </c>
      <c r="O871" t="n">
        <v>2</v>
      </c>
      <c r="P871" t="n">
        <v>1</v>
      </c>
      <c r="Q871" t="n">
        <v>2</v>
      </c>
      <c r="R871" s="2" t="inlineStr">
        <is>
          <t>Goliatmusseron
Duvhök</t>
        </is>
      </c>
      <c r="S871">
        <f>HYPERLINK("https://klasma.github.io/Logging_2421/artfynd/A 34276-2020 artfynd.xlsx", "A 34276-2020")</f>
        <v/>
      </c>
      <c r="T871">
        <f>HYPERLINK("https://klasma.github.io/Logging_2421/kartor/A 34276-2020 karta.png", "A 34276-2020")</f>
        <v/>
      </c>
      <c r="V871">
        <f>HYPERLINK("https://klasma.github.io/Logging_2421/klagomål/A 34276-2020 FSC-klagomål.docx", "A 34276-2020")</f>
        <v/>
      </c>
      <c r="W871">
        <f>HYPERLINK("https://klasma.github.io/Logging_2421/klagomålsmail/A 34276-2020 FSC-klagomål mail.docx", "A 34276-2020")</f>
        <v/>
      </c>
      <c r="X871">
        <f>HYPERLINK("https://klasma.github.io/Logging_2421/tillsyn/A 34276-2020 tillsynsbegäran.docx", "A 34276-2020")</f>
        <v/>
      </c>
      <c r="Y871">
        <f>HYPERLINK("https://klasma.github.io/Logging_2421/tillsynsmail/A 34276-2020 tillsynsbegäran mail.docx", "A 34276-2020")</f>
        <v/>
      </c>
      <c r="Z871">
        <f>HYPERLINK("https://klasma.github.io/Logging_2421/fåglar/A 34276-2020 prioriterade fågelarter.docx", "A 34276-2020")</f>
        <v/>
      </c>
    </row>
    <row r="872" ht="15" customHeight="1">
      <c r="A872" t="inlineStr">
        <is>
          <t>A 36344-2020</t>
        </is>
      </c>
      <c r="B872" s="1" t="n">
        <v>44049</v>
      </c>
      <c r="C872" s="1" t="n">
        <v>45792</v>
      </c>
      <c r="D872" t="inlineStr">
        <is>
          <t>VÄSTERBOTTENS LÄN</t>
        </is>
      </c>
      <c r="E872" t="inlineStr">
        <is>
          <t>SORSELE</t>
        </is>
      </c>
      <c r="G872" t="n">
        <v>5.4</v>
      </c>
      <c r="H872" t="n">
        <v>0</v>
      </c>
      <c r="I872" t="n">
        <v>0</v>
      </c>
      <c r="J872" t="n">
        <v>2</v>
      </c>
      <c r="K872" t="n">
        <v>0</v>
      </c>
      <c r="L872" t="n">
        <v>0</v>
      </c>
      <c r="M872" t="n">
        <v>0</v>
      </c>
      <c r="N872" t="n">
        <v>0</v>
      </c>
      <c r="O872" t="n">
        <v>2</v>
      </c>
      <c r="P872" t="n">
        <v>0</v>
      </c>
      <c r="Q872" t="n">
        <v>2</v>
      </c>
      <c r="R872" s="2" t="inlineStr">
        <is>
          <t>Garnlav
Rödbrun blekspik</t>
        </is>
      </c>
      <c r="S872">
        <f>HYPERLINK("https://klasma.github.io/Logging_2422/artfynd/A 36344-2020 artfynd.xlsx", "A 36344-2020")</f>
        <v/>
      </c>
      <c r="T872">
        <f>HYPERLINK("https://klasma.github.io/Logging_2422/kartor/A 36344-2020 karta.png", "A 36344-2020")</f>
        <v/>
      </c>
      <c r="V872">
        <f>HYPERLINK("https://klasma.github.io/Logging_2422/klagomål/A 36344-2020 FSC-klagomål.docx", "A 36344-2020")</f>
        <v/>
      </c>
      <c r="W872">
        <f>HYPERLINK("https://klasma.github.io/Logging_2422/klagomålsmail/A 36344-2020 FSC-klagomål mail.docx", "A 36344-2020")</f>
        <v/>
      </c>
      <c r="X872">
        <f>HYPERLINK("https://klasma.github.io/Logging_2422/tillsyn/A 36344-2020 tillsynsbegäran.docx", "A 36344-2020")</f>
        <v/>
      </c>
      <c r="Y872">
        <f>HYPERLINK("https://klasma.github.io/Logging_2422/tillsynsmail/A 36344-2020 tillsynsbegäran mail.docx", "A 36344-2020")</f>
        <v/>
      </c>
    </row>
    <row r="873" ht="15" customHeight="1">
      <c r="A873" t="inlineStr">
        <is>
          <t>A 40134-2020</t>
        </is>
      </c>
      <c r="B873" s="1" t="n">
        <v>44067</v>
      </c>
      <c r="C873" s="1" t="n">
        <v>45792</v>
      </c>
      <c r="D873" t="inlineStr">
        <is>
          <t>VÄSTERBOTTENS LÄN</t>
        </is>
      </c>
      <c r="E873" t="inlineStr">
        <is>
          <t>SKELLEFTEÅ</t>
        </is>
      </c>
      <c r="G873" t="n">
        <v>6.1</v>
      </c>
      <c r="H873" t="n">
        <v>0</v>
      </c>
      <c r="I873" t="n">
        <v>1</v>
      </c>
      <c r="J873" t="n">
        <v>0</v>
      </c>
      <c r="K873" t="n">
        <v>0</v>
      </c>
      <c r="L873" t="n">
        <v>1</v>
      </c>
      <c r="M873" t="n">
        <v>0</v>
      </c>
      <c r="N873" t="n">
        <v>0</v>
      </c>
      <c r="O873" t="n">
        <v>1</v>
      </c>
      <c r="P873" t="n">
        <v>1</v>
      </c>
      <c r="Q873" t="n">
        <v>2</v>
      </c>
      <c r="R873" s="2" t="inlineStr">
        <is>
          <t>Större svartbagge
Stekelbock</t>
        </is>
      </c>
      <c r="S873">
        <f>HYPERLINK("https://klasma.github.io/Logging_2482/artfynd/A 40134-2020 artfynd.xlsx", "A 40134-2020")</f>
        <v/>
      </c>
      <c r="T873">
        <f>HYPERLINK("https://klasma.github.io/Logging_2482/kartor/A 40134-2020 karta.png", "A 40134-2020")</f>
        <v/>
      </c>
      <c r="V873">
        <f>HYPERLINK("https://klasma.github.io/Logging_2482/klagomål/A 40134-2020 FSC-klagomål.docx", "A 40134-2020")</f>
        <v/>
      </c>
      <c r="W873">
        <f>HYPERLINK("https://klasma.github.io/Logging_2482/klagomålsmail/A 40134-2020 FSC-klagomål mail.docx", "A 40134-2020")</f>
        <v/>
      </c>
      <c r="X873">
        <f>HYPERLINK("https://klasma.github.io/Logging_2482/tillsyn/A 40134-2020 tillsynsbegäran.docx", "A 40134-2020")</f>
        <v/>
      </c>
      <c r="Y873">
        <f>HYPERLINK("https://klasma.github.io/Logging_2482/tillsynsmail/A 40134-2020 tillsynsbegäran mail.docx", "A 40134-2020")</f>
        <v/>
      </c>
    </row>
    <row r="874" ht="15" customHeight="1">
      <c r="A874" t="inlineStr">
        <is>
          <t>A 40420-2020</t>
        </is>
      </c>
      <c r="B874" s="1" t="n">
        <v>44068</v>
      </c>
      <c r="C874" s="1" t="n">
        <v>45792</v>
      </c>
      <c r="D874" t="inlineStr">
        <is>
          <t>VÄSTERBOTTENS LÄN</t>
        </is>
      </c>
      <c r="E874" t="inlineStr">
        <is>
          <t>UMEÅ</t>
        </is>
      </c>
      <c r="F874" t="inlineStr">
        <is>
          <t>Kommuner</t>
        </is>
      </c>
      <c r="G874" t="n">
        <v>4.1</v>
      </c>
      <c r="H874" t="n">
        <v>1</v>
      </c>
      <c r="I874" t="n">
        <v>0</v>
      </c>
      <c r="J874" t="n">
        <v>2</v>
      </c>
      <c r="K874" t="n">
        <v>0</v>
      </c>
      <c r="L874" t="n">
        <v>0</v>
      </c>
      <c r="M874" t="n">
        <v>0</v>
      </c>
      <c r="N874" t="n">
        <v>0</v>
      </c>
      <c r="O874" t="n">
        <v>2</v>
      </c>
      <c r="P874" t="n">
        <v>0</v>
      </c>
      <c r="Q874" t="n">
        <v>2</v>
      </c>
      <c r="R874" s="2" t="inlineStr">
        <is>
          <t>Leptoporus mollis
Tretåig hackspett</t>
        </is>
      </c>
      <c r="S874">
        <f>HYPERLINK("https://klasma.github.io/Logging_2480/artfynd/A 40420-2020 artfynd.xlsx", "A 40420-2020")</f>
        <v/>
      </c>
      <c r="T874">
        <f>HYPERLINK("https://klasma.github.io/Logging_2480/kartor/A 40420-2020 karta.png", "A 40420-2020")</f>
        <v/>
      </c>
      <c r="V874">
        <f>HYPERLINK("https://klasma.github.io/Logging_2480/klagomål/A 40420-2020 FSC-klagomål.docx", "A 40420-2020")</f>
        <v/>
      </c>
      <c r="W874">
        <f>HYPERLINK("https://klasma.github.io/Logging_2480/klagomålsmail/A 40420-2020 FSC-klagomål mail.docx", "A 40420-2020")</f>
        <v/>
      </c>
      <c r="X874">
        <f>HYPERLINK("https://klasma.github.io/Logging_2480/tillsyn/A 40420-2020 tillsynsbegäran.docx", "A 40420-2020")</f>
        <v/>
      </c>
      <c r="Y874">
        <f>HYPERLINK("https://klasma.github.io/Logging_2480/tillsynsmail/A 40420-2020 tillsynsbegäran mail.docx", "A 40420-2020")</f>
        <v/>
      </c>
      <c r="Z874">
        <f>HYPERLINK("https://klasma.github.io/Logging_2480/fåglar/A 40420-2020 prioriterade fågelarter.docx", "A 40420-2020")</f>
        <v/>
      </c>
    </row>
    <row r="875" ht="15" customHeight="1">
      <c r="A875" t="inlineStr">
        <is>
          <t>A 40914-2020</t>
        </is>
      </c>
      <c r="B875" s="1" t="n">
        <v>44068</v>
      </c>
      <c r="C875" s="1" t="n">
        <v>45792</v>
      </c>
      <c r="D875" t="inlineStr">
        <is>
          <t>VÄSTERBOTTENS LÄN</t>
        </is>
      </c>
      <c r="E875" t="inlineStr">
        <is>
          <t>NORDMALING</t>
        </is>
      </c>
      <c r="G875" t="n">
        <v>1.2</v>
      </c>
      <c r="H875" t="n">
        <v>0</v>
      </c>
      <c r="I875" t="n">
        <v>1</v>
      </c>
      <c r="J875" t="n">
        <v>1</v>
      </c>
      <c r="K875" t="n">
        <v>0</v>
      </c>
      <c r="L875" t="n">
        <v>0</v>
      </c>
      <c r="M875" t="n">
        <v>0</v>
      </c>
      <c r="N875" t="n">
        <v>0</v>
      </c>
      <c r="O875" t="n">
        <v>1</v>
      </c>
      <c r="P875" t="n">
        <v>0</v>
      </c>
      <c r="Q875" t="n">
        <v>2</v>
      </c>
      <c r="R875" s="2" t="inlineStr">
        <is>
          <t>Asppraktbagge
Stekelbock</t>
        </is>
      </c>
      <c r="S875">
        <f>HYPERLINK("https://klasma.github.io/Logging_2401/artfynd/A 40914-2020 artfynd.xlsx", "A 40914-2020")</f>
        <v/>
      </c>
      <c r="T875">
        <f>HYPERLINK("https://klasma.github.io/Logging_2401/kartor/A 40914-2020 karta.png", "A 40914-2020")</f>
        <v/>
      </c>
      <c r="V875">
        <f>HYPERLINK("https://klasma.github.io/Logging_2401/klagomål/A 40914-2020 FSC-klagomål.docx", "A 40914-2020")</f>
        <v/>
      </c>
      <c r="W875">
        <f>HYPERLINK("https://klasma.github.io/Logging_2401/klagomålsmail/A 40914-2020 FSC-klagomål mail.docx", "A 40914-2020")</f>
        <v/>
      </c>
      <c r="X875">
        <f>HYPERLINK("https://klasma.github.io/Logging_2401/tillsyn/A 40914-2020 tillsynsbegäran.docx", "A 40914-2020")</f>
        <v/>
      </c>
      <c r="Y875">
        <f>HYPERLINK("https://klasma.github.io/Logging_2401/tillsynsmail/A 40914-2020 tillsynsbegäran mail.docx", "A 40914-2020")</f>
        <v/>
      </c>
    </row>
    <row r="876" ht="15" customHeight="1">
      <c r="A876" t="inlineStr">
        <is>
          <t>A 41578-2020</t>
        </is>
      </c>
      <c r="B876" s="1" t="n">
        <v>44074</v>
      </c>
      <c r="C876" s="1" t="n">
        <v>45792</v>
      </c>
      <c r="D876" t="inlineStr">
        <is>
          <t>VÄSTERBOTTENS LÄN</t>
        </is>
      </c>
      <c r="E876" t="inlineStr">
        <is>
          <t>VINDELN</t>
        </is>
      </c>
      <c r="F876" t="inlineStr">
        <is>
          <t>Sveaskog</t>
        </is>
      </c>
      <c r="G876" t="n">
        <v>6.8</v>
      </c>
      <c r="H876" t="n">
        <v>0</v>
      </c>
      <c r="I876" t="n">
        <v>1</v>
      </c>
      <c r="J876" t="n">
        <v>1</v>
      </c>
      <c r="K876" t="n">
        <v>0</v>
      </c>
      <c r="L876" t="n">
        <v>0</v>
      </c>
      <c r="M876" t="n">
        <v>0</v>
      </c>
      <c r="N876" t="n">
        <v>0</v>
      </c>
      <c r="O876" t="n">
        <v>1</v>
      </c>
      <c r="P876" t="n">
        <v>0</v>
      </c>
      <c r="Q876" t="n">
        <v>2</v>
      </c>
      <c r="R876" s="2" t="inlineStr">
        <is>
          <t>Stiftgelélav
Skinnlav</t>
        </is>
      </c>
      <c r="S876">
        <f>HYPERLINK("https://klasma.github.io/Logging_2404/artfynd/A 41578-2020 artfynd.xlsx", "A 41578-2020")</f>
        <v/>
      </c>
      <c r="T876">
        <f>HYPERLINK("https://klasma.github.io/Logging_2404/kartor/A 41578-2020 karta.png", "A 41578-2020")</f>
        <v/>
      </c>
      <c r="V876">
        <f>HYPERLINK("https://klasma.github.io/Logging_2404/klagomål/A 41578-2020 FSC-klagomål.docx", "A 41578-2020")</f>
        <v/>
      </c>
      <c r="W876">
        <f>HYPERLINK("https://klasma.github.io/Logging_2404/klagomålsmail/A 41578-2020 FSC-klagomål mail.docx", "A 41578-2020")</f>
        <v/>
      </c>
      <c r="X876">
        <f>HYPERLINK("https://klasma.github.io/Logging_2404/tillsyn/A 41578-2020 tillsynsbegäran.docx", "A 41578-2020")</f>
        <v/>
      </c>
      <c r="Y876">
        <f>HYPERLINK("https://klasma.github.io/Logging_2404/tillsynsmail/A 41578-2020 tillsynsbegäran mail.docx", "A 41578-2020")</f>
        <v/>
      </c>
    </row>
    <row r="877" ht="15" customHeight="1">
      <c r="A877" t="inlineStr">
        <is>
          <t>A 43940-2020</t>
        </is>
      </c>
      <c r="B877" s="1" t="n">
        <v>44078</v>
      </c>
      <c r="C877" s="1" t="n">
        <v>45792</v>
      </c>
      <c r="D877" t="inlineStr">
        <is>
          <t>VÄSTERBOTTENS LÄN</t>
        </is>
      </c>
      <c r="E877" t="inlineStr">
        <is>
          <t>SORSELE</t>
        </is>
      </c>
      <c r="F877" t="inlineStr">
        <is>
          <t>Allmännings- och besparingsskogar</t>
        </is>
      </c>
      <c r="G877" t="n">
        <v>126.6</v>
      </c>
      <c r="H877" t="n">
        <v>0</v>
      </c>
      <c r="I877" t="n">
        <v>0</v>
      </c>
      <c r="J877" t="n">
        <v>1</v>
      </c>
      <c r="K877" t="n">
        <v>1</v>
      </c>
      <c r="L877" t="n">
        <v>0</v>
      </c>
      <c r="M877" t="n">
        <v>0</v>
      </c>
      <c r="N877" t="n">
        <v>0</v>
      </c>
      <c r="O877" t="n">
        <v>2</v>
      </c>
      <c r="P877" t="n">
        <v>1</v>
      </c>
      <c r="Q877" t="n">
        <v>2</v>
      </c>
      <c r="R877" s="2" t="inlineStr">
        <is>
          <t>Tajgaskinn
Dvärgbägarlav</t>
        </is>
      </c>
      <c r="S877">
        <f>HYPERLINK("https://klasma.github.io/Logging_2422/artfynd/A 43940-2020 artfynd.xlsx", "A 43940-2020")</f>
        <v/>
      </c>
      <c r="T877">
        <f>HYPERLINK("https://klasma.github.io/Logging_2422/kartor/A 43940-2020 karta.png", "A 43940-2020")</f>
        <v/>
      </c>
      <c r="V877">
        <f>HYPERLINK("https://klasma.github.io/Logging_2422/klagomål/A 43940-2020 FSC-klagomål.docx", "A 43940-2020")</f>
        <v/>
      </c>
      <c r="W877">
        <f>HYPERLINK("https://klasma.github.io/Logging_2422/klagomålsmail/A 43940-2020 FSC-klagomål mail.docx", "A 43940-2020")</f>
        <v/>
      </c>
      <c r="X877">
        <f>HYPERLINK("https://klasma.github.io/Logging_2422/tillsyn/A 43940-2020 tillsynsbegäran.docx", "A 43940-2020")</f>
        <v/>
      </c>
      <c r="Y877">
        <f>HYPERLINK("https://klasma.github.io/Logging_2422/tillsynsmail/A 43940-2020 tillsynsbegäran mail.docx", "A 43940-2020")</f>
        <v/>
      </c>
    </row>
    <row r="878" ht="15" customHeight="1">
      <c r="A878" t="inlineStr">
        <is>
          <t>A 43975-2020</t>
        </is>
      </c>
      <c r="B878" s="1" t="n">
        <v>44078</v>
      </c>
      <c r="C878" s="1" t="n">
        <v>45792</v>
      </c>
      <c r="D878" t="inlineStr">
        <is>
          <t>VÄSTERBOTTENS LÄN</t>
        </is>
      </c>
      <c r="E878" t="inlineStr">
        <is>
          <t>SORSELE</t>
        </is>
      </c>
      <c r="F878" t="inlineStr">
        <is>
          <t>Allmännings- och besparingsskogar</t>
        </is>
      </c>
      <c r="G878" t="n">
        <v>93.5</v>
      </c>
      <c r="H878" t="n">
        <v>0</v>
      </c>
      <c r="I878" t="n">
        <v>0</v>
      </c>
      <c r="J878" t="n">
        <v>2</v>
      </c>
      <c r="K878" t="n">
        <v>0</v>
      </c>
      <c r="L878" t="n">
        <v>0</v>
      </c>
      <c r="M878" t="n">
        <v>0</v>
      </c>
      <c r="N878" t="n">
        <v>0</v>
      </c>
      <c r="O878" t="n">
        <v>2</v>
      </c>
      <c r="P878" t="n">
        <v>0</v>
      </c>
      <c r="Q878" t="n">
        <v>2</v>
      </c>
      <c r="R878" s="2" t="inlineStr">
        <is>
          <t>Granticka
Vitgrynig nållav</t>
        </is>
      </c>
      <c r="S878">
        <f>HYPERLINK("https://klasma.github.io/Logging_2422/artfynd/A 43975-2020 artfynd.xlsx", "A 43975-2020")</f>
        <v/>
      </c>
      <c r="T878">
        <f>HYPERLINK("https://klasma.github.io/Logging_2422/kartor/A 43975-2020 karta.png", "A 43975-2020")</f>
        <v/>
      </c>
      <c r="V878">
        <f>HYPERLINK("https://klasma.github.io/Logging_2422/klagomål/A 43975-2020 FSC-klagomål.docx", "A 43975-2020")</f>
        <v/>
      </c>
      <c r="W878">
        <f>HYPERLINK("https://klasma.github.io/Logging_2422/klagomålsmail/A 43975-2020 FSC-klagomål mail.docx", "A 43975-2020")</f>
        <v/>
      </c>
      <c r="X878">
        <f>HYPERLINK("https://klasma.github.io/Logging_2422/tillsyn/A 43975-2020 tillsynsbegäran.docx", "A 43975-2020")</f>
        <v/>
      </c>
      <c r="Y878">
        <f>HYPERLINK("https://klasma.github.io/Logging_2422/tillsynsmail/A 43975-2020 tillsynsbegäran mail.docx", "A 43975-2020")</f>
        <v/>
      </c>
    </row>
    <row r="879" ht="15" customHeight="1">
      <c r="A879" t="inlineStr">
        <is>
          <t>A 48400-2020</t>
        </is>
      </c>
      <c r="B879" s="1" t="n">
        <v>44102</v>
      </c>
      <c r="C879" s="1" t="n">
        <v>45792</v>
      </c>
      <c r="D879" t="inlineStr">
        <is>
          <t>VÄSTERBOTTENS LÄN</t>
        </is>
      </c>
      <c r="E879" t="inlineStr">
        <is>
          <t>UMEÅ</t>
        </is>
      </c>
      <c r="G879" t="n">
        <v>1.8</v>
      </c>
      <c r="H879" t="n">
        <v>1</v>
      </c>
      <c r="I879" t="n">
        <v>0</v>
      </c>
      <c r="J879" t="n">
        <v>1</v>
      </c>
      <c r="K879" t="n">
        <v>0</v>
      </c>
      <c r="L879" t="n">
        <v>0</v>
      </c>
      <c r="M879" t="n">
        <v>0</v>
      </c>
      <c r="N879" t="n">
        <v>0</v>
      </c>
      <c r="O879" t="n">
        <v>1</v>
      </c>
      <c r="P879" t="n">
        <v>0</v>
      </c>
      <c r="Q879" t="n">
        <v>2</v>
      </c>
      <c r="R879" s="2" t="inlineStr">
        <is>
          <t>Granticka
Orre</t>
        </is>
      </c>
      <c r="S879">
        <f>HYPERLINK("https://klasma.github.io/Logging_2480/artfynd/A 48400-2020 artfynd.xlsx", "A 48400-2020")</f>
        <v/>
      </c>
      <c r="T879">
        <f>HYPERLINK("https://klasma.github.io/Logging_2480/kartor/A 48400-2020 karta.png", "A 48400-2020")</f>
        <v/>
      </c>
      <c r="V879">
        <f>HYPERLINK("https://klasma.github.io/Logging_2480/klagomål/A 48400-2020 FSC-klagomål.docx", "A 48400-2020")</f>
        <v/>
      </c>
      <c r="W879">
        <f>HYPERLINK("https://klasma.github.io/Logging_2480/klagomålsmail/A 48400-2020 FSC-klagomål mail.docx", "A 48400-2020")</f>
        <v/>
      </c>
      <c r="X879">
        <f>HYPERLINK("https://klasma.github.io/Logging_2480/tillsyn/A 48400-2020 tillsynsbegäran.docx", "A 48400-2020")</f>
        <v/>
      </c>
      <c r="Y879">
        <f>HYPERLINK("https://klasma.github.io/Logging_2480/tillsynsmail/A 48400-2020 tillsynsbegäran mail.docx", "A 48400-2020")</f>
        <v/>
      </c>
      <c r="Z879">
        <f>HYPERLINK("https://klasma.github.io/Logging_2480/fåglar/A 48400-2020 prioriterade fågelarter.docx", "A 48400-2020")</f>
        <v/>
      </c>
    </row>
    <row r="880" ht="15" customHeight="1">
      <c r="A880" t="inlineStr">
        <is>
          <t>A 53541-2020</t>
        </is>
      </c>
      <c r="B880" s="1" t="n">
        <v>44124</v>
      </c>
      <c r="C880" s="1" t="n">
        <v>45792</v>
      </c>
      <c r="D880" t="inlineStr">
        <is>
          <t>VÄSTERBOTTENS LÄN</t>
        </is>
      </c>
      <c r="E880" t="inlineStr">
        <is>
          <t>SKELLEFTEÅ</t>
        </is>
      </c>
      <c r="F880" t="inlineStr">
        <is>
          <t>Sveaskog</t>
        </is>
      </c>
      <c r="G880" t="n">
        <v>4.4</v>
      </c>
      <c r="H880" t="n">
        <v>0</v>
      </c>
      <c r="I880" t="n">
        <v>1</v>
      </c>
      <c r="J880" t="n">
        <v>1</v>
      </c>
      <c r="K880" t="n">
        <v>0</v>
      </c>
      <c r="L880" t="n">
        <v>0</v>
      </c>
      <c r="M880" t="n">
        <v>0</v>
      </c>
      <c r="N880" t="n">
        <v>0</v>
      </c>
      <c r="O880" t="n">
        <v>1</v>
      </c>
      <c r="P880" t="n">
        <v>0</v>
      </c>
      <c r="Q880" t="n">
        <v>2</v>
      </c>
      <c r="R880" s="2" t="inlineStr">
        <is>
          <t>Motaggsvamp
Dropptaggsvamp</t>
        </is>
      </c>
      <c r="S880">
        <f>HYPERLINK("https://klasma.github.io/Logging_2482/artfynd/A 53541-2020 artfynd.xlsx", "A 53541-2020")</f>
        <v/>
      </c>
      <c r="T880">
        <f>HYPERLINK("https://klasma.github.io/Logging_2482/kartor/A 53541-2020 karta.png", "A 53541-2020")</f>
        <v/>
      </c>
      <c r="V880">
        <f>HYPERLINK("https://klasma.github.io/Logging_2482/klagomål/A 53541-2020 FSC-klagomål.docx", "A 53541-2020")</f>
        <v/>
      </c>
      <c r="W880">
        <f>HYPERLINK("https://klasma.github.io/Logging_2482/klagomålsmail/A 53541-2020 FSC-klagomål mail.docx", "A 53541-2020")</f>
        <v/>
      </c>
      <c r="X880">
        <f>HYPERLINK("https://klasma.github.io/Logging_2482/tillsyn/A 53541-2020 tillsynsbegäran.docx", "A 53541-2020")</f>
        <v/>
      </c>
      <c r="Y880">
        <f>HYPERLINK("https://klasma.github.io/Logging_2482/tillsynsmail/A 53541-2020 tillsynsbegäran mail.docx", "A 53541-2020")</f>
        <v/>
      </c>
    </row>
    <row r="881" ht="15" customHeight="1">
      <c r="A881" t="inlineStr">
        <is>
          <t>A 54504-2020</t>
        </is>
      </c>
      <c r="B881" s="1" t="n">
        <v>44126</v>
      </c>
      <c r="C881" s="1" t="n">
        <v>45792</v>
      </c>
      <c r="D881" t="inlineStr">
        <is>
          <t>VÄSTERBOTTENS LÄN</t>
        </is>
      </c>
      <c r="E881" t="inlineStr">
        <is>
          <t>ROBERTSFORS</t>
        </is>
      </c>
      <c r="F881" t="inlineStr">
        <is>
          <t>Holmen skog AB</t>
        </is>
      </c>
      <c r="G881" t="n">
        <v>6.4</v>
      </c>
      <c r="H881" t="n">
        <v>2</v>
      </c>
      <c r="I881" t="n">
        <v>0</v>
      </c>
      <c r="J881" t="n">
        <v>2</v>
      </c>
      <c r="K881" t="n">
        <v>0</v>
      </c>
      <c r="L881" t="n">
        <v>0</v>
      </c>
      <c r="M881" t="n">
        <v>0</v>
      </c>
      <c r="N881" t="n">
        <v>0</v>
      </c>
      <c r="O881" t="n">
        <v>2</v>
      </c>
      <c r="P881" t="n">
        <v>0</v>
      </c>
      <c r="Q881" t="n">
        <v>2</v>
      </c>
      <c r="R881" s="2" t="inlineStr">
        <is>
          <t>Svartvit flugsnappare
Talltita</t>
        </is>
      </c>
      <c r="S881">
        <f>HYPERLINK("https://klasma.github.io/Logging_2409/artfynd/A 54504-2020 artfynd.xlsx", "A 54504-2020")</f>
        <v/>
      </c>
      <c r="T881">
        <f>HYPERLINK("https://klasma.github.io/Logging_2409/kartor/A 54504-2020 karta.png", "A 54504-2020")</f>
        <v/>
      </c>
      <c r="V881">
        <f>HYPERLINK("https://klasma.github.io/Logging_2409/klagomål/A 54504-2020 FSC-klagomål.docx", "A 54504-2020")</f>
        <v/>
      </c>
      <c r="W881">
        <f>HYPERLINK("https://klasma.github.io/Logging_2409/klagomålsmail/A 54504-2020 FSC-klagomål mail.docx", "A 54504-2020")</f>
        <v/>
      </c>
      <c r="X881">
        <f>HYPERLINK("https://klasma.github.io/Logging_2409/tillsyn/A 54504-2020 tillsynsbegäran.docx", "A 54504-2020")</f>
        <v/>
      </c>
      <c r="Y881">
        <f>HYPERLINK("https://klasma.github.io/Logging_2409/tillsynsmail/A 54504-2020 tillsynsbegäran mail.docx", "A 54504-2020")</f>
        <v/>
      </c>
      <c r="Z881">
        <f>HYPERLINK("https://klasma.github.io/Logging_2409/fåglar/A 54504-2020 prioriterade fågelarter.docx", "A 54504-2020")</f>
        <v/>
      </c>
    </row>
    <row r="882" ht="15" customHeight="1">
      <c r="A882" t="inlineStr">
        <is>
          <t>A 55809-2020</t>
        </is>
      </c>
      <c r="B882" s="1" t="n">
        <v>44132</v>
      </c>
      <c r="C882" s="1" t="n">
        <v>45792</v>
      </c>
      <c r="D882" t="inlineStr">
        <is>
          <t>VÄSTERBOTTENS LÄN</t>
        </is>
      </c>
      <c r="E882" t="inlineStr">
        <is>
          <t>SKELLEFTEÅ</t>
        </is>
      </c>
      <c r="F882" t="inlineStr">
        <is>
          <t>Sveaskog</t>
        </is>
      </c>
      <c r="G882" t="n">
        <v>9.9</v>
      </c>
      <c r="H882" t="n">
        <v>2</v>
      </c>
      <c r="I882" t="n">
        <v>0</v>
      </c>
      <c r="J882" t="n">
        <v>1</v>
      </c>
      <c r="K882" t="n">
        <v>0</v>
      </c>
      <c r="L882" t="n">
        <v>0</v>
      </c>
      <c r="M882" t="n">
        <v>0</v>
      </c>
      <c r="N882" t="n">
        <v>0</v>
      </c>
      <c r="O882" t="n">
        <v>1</v>
      </c>
      <c r="P882" t="n">
        <v>0</v>
      </c>
      <c r="Q882" t="n">
        <v>2</v>
      </c>
      <c r="R882" s="2" t="inlineStr">
        <is>
          <t>Nordfladdermus
Fläcknycklar</t>
        </is>
      </c>
      <c r="S882">
        <f>HYPERLINK("https://klasma.github.io/Logging_2482/artfynd/A 55809-2020 artfynd.xlsx", "A 55809-2020")</f>
        <v/>
      </c>
      <c r="T882">
        <f>HYPERLINK("https://klasma.github.io/Logging_2482/kartor/A 55809-2020 karta.png", "A 55809-2020")</f>
        <v/>
      </c>
      <c r="V882">
        <f>HYPERLINK("https://klasma.github.io/Logging_2482/klagomål/A 55809-2020 FSC-klagomål.docx", "A 55809-2020")</f>
        <v/>
      </c>
      <c r="W882">
        <f>HYPERLINK("https://klasma.github.io/Logging_2482/klagomålsmail/A 55809-2020 FSC-klagomål mail.docx", "A 55809-2020")</f>
        <v/>
      </c>
      <c r="X882">
        <f>HYPERLINK("https://klasma.github.io/Logging_2482/tillsyn/A 55809-2020 tillsynsbegäran.docx", "A 55809-2020")</f>
        <v/>
      </c>
      <c r="Y882">
        <f>HYPERLINK("https://klasma.github.io/Logging_2482/tillsynsmail/A 55809-2020 tillsynsbegäran mail.docx", "A 55809-2020")</f>
        <v/>
      </c>
    </row>
    <row r="883" ht="15" customHeight="1">
      <c r="A883" t="inlineStr">
        <is>
          <t>A 57315-2020</t>
        </is>
      </c>
      <c r="B883" s="1" t="n">
        <v>44139</v>
      </c>
      <c r="C883" s="1" t="n">
        <v>45792</v>
      </c>
      <c r="D883" t="inlineStr">
        <is>
          <t>VÄSTERBOTTENS LÄN</t>
        </is>
      </c>
      <c r="E883" t="inlineStr">
        <is>
          <t>ÅSELE</t>
        </is>
      </c>
      <c r="G883" t="n">
        <v>10.7</v>
      </c>
      <c r="H883" t="n">
        <v>0</v>
      </c>
      <c r="I883" t="n">
        <v>0</v>
      </c>
      <c r="J883" t="n">
        <v>2</v>
      </c>
      <c r="K883" t="n">
        <v>0</v>
      </c>
      <c r="L883" t="n">
        <v>0</v>
      </c>
      <c r="M883" t="n">
        <v>0</v>
      </c>
      <c r="N883" t="n">
        <v>0</v>
      </c>
      <c r="O883" t="n">
        <v>2</v>
      </c>
      <c r="P883" t="n">
        <v>0</v>
      </c>
      <c r="Q883" t="n">
        <v>2</v>
      </c>
      <c r="R883" s="2" t="inlineStr">
        <is>
          <t>Gammelgransskål
Skrovellav</t>
        </is>
      </c>
      <c r="S883">
        <f>HYPERLINK("https://klasma.github.io/Logging_2463/artfynd/A 57315-2020 artfynd.xlsx", "A 57315-2020")</f>
        <v/>
      </c>
      <c r="T883">
        <f>HYPERLINK("https://klasma.github.io/Logging_2463/kartor/A 57315-2020 karta.png", "A 57315-2020")</f>
        <v/>
      </c>
      <c r="V883">
        <f>HYPERLINK("https://klasma.github.io/Logging_2463/klagomål/A 57315-2020 FSC-klagomål.docx", "A 57315-2020")</f>
        <v/>
      </c>
      <c r="W883">
        <f>HYPERLINK("https://klasma.github.io/Logging_2463/klagomålsmail/A 57315-2020 FSC-klagomål mail.docx", "A 57315-2020")</f>
        <v/>
      </c>
      <c r="X883">
        <f>HYPERLINK("https://klasma.github.io/Logging_2463/tillsyn/A 57315-2020 tillsynsbegäran.docx", "A 57315-2020")</f>
        <v/>
      </c>
      <c r="Y883">
        <f>HYPERLINK("https://klasma.github.io/Logging_2463/tillsynsmail/A 57315-2020 tillsynsbegäran mail.docx", "A 57315-2020")</f>
        <v/>
      </c>
    </row>
    <row r="884" ht="15" customHeight="1">
      <c r="A884" t="inlineStr">
        <is>
          <t>A 61585-2020</t>
        </is>
      </c>
      <c r="B884" s="1" t="n">
        <v>44154</v>
      </c>
      <c r="C884" s="1" t="n">
        <v>45792</v>
      </c>
      <c r="D884" t="inlineStr">
        <is>
          <t>VÄSTERBOTTENS LÄN</t>
        </is>
      </c>
      <c r="E884" t="inlineStr">
        <is>
          <t>BJURHOLM</t>
        </is>
      </c>
      <c r="G884" t="n">
        <v>1.1</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HYPERLINK("https://klasma.github.io/Logging_2403/artfynd/A 61585-2020 artfynd.xlsx", "A 61585-2020")</f>
        <v/>
      </c>
      <c r="T884">
        <f>HYPERLINK("https://klasma.github.io/Logging_2403/kartor/A 61585-2020 karta.png", "A 61585-2020")</f>
        <v/>
      </c>
      <c r="V884">
        <f>HYPERLINK("https://klasma.github.io/Logging_2403/klagomål/A 61585-2020 FSC-klagomål.docx", "A 61585-2020")</f>
        <v/>
      </c>
      <c r="W884">
        <f>HYPERLINK("https://klasma.github.io/Logging_2403/klagomålsmail/A 61585-2020 FSC-klagomål mail.docx", "A 61585-2020")</f>
        <v/>
      </c>
      <c r="X884">
        <f>HYPERLINK("https://klasma.github.io/Logging_2403/tillsyn/A 61585-2020 tillsynsbegäran.docx", "A 61585-2020")</f>
        <v/>
      </c>
      <c r="Y884">
        <f>HYPERLINK("https://klasma.github.io/Logging_2403/tillsynsmail/A 61585-2020 tillsynsbegäran mail.docx", "A 61585-2020")</f>
        <v/>
      </c>
    </row>
    <row r="885" ht="15" customHeight="1">
      <c r="A885" t="inlineStr">
        <is>
          <t>A 63236-2020</t>
        </is>
      </c>
      <c r="B885" s="1" t="n">
        <v>44163</v>
      </c>
      <c r="C885" s="1" t="n">
        <v>45792</v>
      </c>
      <c r="D885" t="inlineStr">
        <is>
          <t>VÄSTERBOTTENS LÄN</t>
        </is>
      </c>
      <c r="E885" t="inlineStr">
        <is>
          <t>ROBERTSFORS</t>
        </is>
      </c>
      <c r="F885" t="inlineStr">
        <is>
          <t>Sveaskog</t>
        </is>
      </c>
      <c r="G885" t="n">
        <v>0.7</v>
      </c>
      <c r="H885" t="n">
        <v>0</v>
      </c>
      <c r="I885" t="n">
        <v>0</v>
      </c>
      <c r="J885" t="n">
        <v>2</v>
      </c>
      <c r="K885" t="n">
        <v>0</v>
      </c>
      <c r="L885" t="n">
        <v>0</v>
      </c>
      <c r="M885" t="n">
        <v>0</v>
      </c>
      <c r="N885" t="n">
        <v>0</v>
      </c>
      <c r="O885" t="n">
        <v>2</v>
      </c>
      <c r="P885" t="n">
        <v>0</v>
      </c>
      <c r="Q885" t="n">
        <v>2</v>
      </c>
      <c r="R885" s="2" t="inlineStr">
        <is>
          <t>Gammelgransskål
Garnlav</t>
        </is>
      </c>
      <c r="S885">
        <f>HYPERLINK("https://klasma.github.io/Logging_2409/artfynd/A 63236-2020 artfynd.xlsx", "A 63236-2020")</f>
        <v/>
      </c>
      <c r="T885">
        <f>HYPERLINK("https://klasma.github.io/Logging_2409/kartor/A 63236-2020 karta.png", "A 63236-2020")</f>
        <v/>
      </c>
      <c r="V885">
        <f>HYPERLINK("https://klasma.github.io/Logging_2409/klagomål/A 63236-2020 FSC-klagomål.docx", "A 63236-2020")</f>
        <v/>
      </c>
      <c r="W885">
        <f>HYPERLINK("https://klasma.github.io/Logging_2409/klagomålsmail/A 63236-2020 FSC-klagomål mail.docx", "A 63236-2020")</f>
        <v/>
      </c>
      <c r="X885">
        <f>HYPERLINK("https://klasma.github.io/Logging_2409/tillsyn/A 63236-2020 tillsynsbegäran.docx", "A 63236-2020")</f>
        <v/>
      </c>
      <c r="Y885">
        <f>HYPERLINK("https://klasma.github.io/Logging_2409/tillsynsmail/A 63236-2020 tillsynsbegäran mail.docx", "A 63236-2020")</f>
        <v/>
      </c>
    </row>
    <row r="886" ht="15" customHeight="1">
      <c r="A886" t="inlineStr">
        <is>
          <t>A 64203-2020</t>
        </is>
      </c>
      <c r="B886" s="1" t="n">
        <v>44167</v>
      </c>
      <c r="C886" s="1" t="n">
        <v>45792</v>
      </c>
      <c r="D886" t="inlineStr">
        <is>
          <t>VÄSTERBOTTENS LÄN</t>
        </is>
      </c>
      <c r="E886" t="inlineStr">
        <is>
          <t>SKELLEFTEÅ</t>
        </is>
      </c>
      <c r="G886" t="n">
        <v>9.800000000000001</v>
      </c>
      <c r="H886" t="n">
        <v>2</v>
      </c>
      <c r="I886" t="n">
        <v>0</v>
      </c>
      <c r="J886" t="n">
        <v>0</v>
      </c>
      <c r="K886" t="n">
        <v>0</v>
      </c>
      <c r="L886" t="n">
        <v>0</v>
      </c>
      <c r="M886" t="n">
        <v>0</v>
      </c>
      <c r="N886" t="n">
        <v>0</v>
      </c>
      <c r="O886" t="n">
        <v>0</v>
      </c>
      <c r="P886" t="n">
        <v>0</v>
      </c>
      <c r="Q886" t="n">
        <v>2</v>
      </c>
      <c r="R886" s="2" t="inlineStr">
        <is>
          <t>Brudsporre
Fläcknycklar</t>
        </is>
      </c>
      <c r="S886">
        <f>HYPERLINK("https://klasma.github.io/Logging_2482/artfynd/A 64203-2020 artfynd.xlsx", "A 64203-2020")</f>
        <v/>
      </c>
      <c r="T886">
        <f>HYPERLINK("https://klasma.github.io/Logging_2482/kartor/A 64203-2020 karta.png", "A 64203-2020")</f>
        <v/>
      </c>
      <c r="V886">
        <f>HYPERLINK("https://klasma.github.io/Logging_2482/klagomål/A 64203-2020 FSC-klagomål.docx", "A 64203-2020")</f>
        <v/>
      </c>
      <c r="W886">
        <f>HYPERLINK("https://klasma.github.io/Logging_2482/klagomålsmail/A 64203-2020 FSC-klagomål mail.docx", "A 64203-2020")</f>
        <v/>
      </c>
      <c r="X886">
        <f>HYPERLINK("https://klasma.github.io/Logging_2482/tillsyn/A 64203-2020 tillsynsbegäran.docx", "A 64203-2020")</f>
        <v/>
      </c>
      <c r="Y886">
        <f>HYPERLINK("https://klasma.github.io/Logging_2482/tillsynsmail/A 64203-2020 tillsynsbegäran mail.docx", "A 64203-2020")</f>
        <v/>
      </c>
    </row>
    <row r="887" ht="15" customHeight="1">
      <c r="A887" t="inlineStr">
        <is>
          <t>A 68827-2020</t>
        </is>
      </c>
      <c r="B887" s="1" t="n">
        <v>44187</v>
      </c>
      <c r="C887" s="1" t="n">
        <v>45792</v>
      </c>
      <c r="D887" t="inlineStr">
        <is>
          <t>VÄSTERBOTTENS LÄN</t>
        </is>
      </c>
      <c r="E887" t="inlineStr">
        <is>
          <t>STORUMAN</t>
        </is>
      </c>
      <c r="G887" t="n">
        <v>5.1</v>
      </c>
      <c r="H887" t="n">
        <v>0</v>
      </c>
      <c r="I887" t="n">
        <v>0</v>
      </c>
      <c r="J887" t="n">
        <v>2</v>
      </c>
      <c r="K887" t="n">
        <v>0</v>
      </c>
      <c r="L887" t="n">
        <v>0</v>
      </c>
      <c r="M887" t="n">
        <v>0</v>
      </c>
      <c r="N887" t="n">
        <v>0</v>
      </c>
      <c r="O887" t="n">
        <v>2</v>
      </c>
      <c r="P887" t="n">
        <v>0</v>
      </c>
      <c r="Q887" t="n">
        <v>2</v>
      </c>
      <c r="R887" s="2" t="inlineStr">
        <is>
          <t>Garnlav
Lunglav</t>
        </is>
      </c>
      <c r="S887">
        <f>HYPERLINK("https://klasma.github.io/Logging_2421/artfynd/A 68827-2020 artfynd.xlsx", "A 68827-2020")</f>
        <v/>
      </c>
      <c r="T887">
        <f>HYPERLINK("https://klasma.github.io/Logging_2421/kartor/A 68827-2020 karta.png", "A 68827-2020")</f>
        <v/>
      </c>
      <c r="V887">
        <f>HYPERLINK("https://klasma.github.io/Logging_2421/klagomål/A 68827-2020 FSC-klagomål.docx", "A 68827-2020")</f>
        <v/>
      </c>
      <c r="W887">
        <f>HYPERLINK("https://klasma.github.io/Logging_2421/klagomålsmail/A 68827-2020 FSC-klagomål mail.docx", "A 68827-2020")</f>
        <v/>
      </c>
      <c r="X887">
        <f>HYPERLINK("https://klasma.github.io/Logging_2421/tillsyn/A 68827-2020 tillsynsbegäran.docx", "A 68827-2020")</f>
        <v/>
      </c>
      <c r="Y887">
        <f>HYPERLINK("https://klasma.github.io/Logging_2421/tillsynsmail/A 68827-2020 tillsynsbegäran mail.docx", "A 68827-2020")</f>
        <v/>
      </c>
    </row>
    <row r="888" ht="15" customHeight="1">
      <c r="A888" t="inlineStr">
        <is>
          <t>A 69626-2020</t>
        </is>
      </c>
      <c r="B888" s="1" t="n">
        <v>44195</v>
      </c>
      <c r="C888" s="1" t="n">
        <v>45792</v>
      </c>
      <c r="D888" t="inlineStr">
        <is>
          <t>VÄSTERBOTTENS LÄN</t>
        </is>
      </c>
      <c r="E888" t="inlineStr">
        <is>
          <t>VILHELMINA</t>
        </is>
      </c>
      <c r="G888" t="n">
        <v>10.2</v>
      </c>
      <c r="H888" t="n">
        <v>2</v>
      </c>
      <c r="I888" t="n">
        <v>0</v>
      </c>
      <c r="J888" t="n">
        <v>2</v>
      </c>
      <c r="K888" t="n">
        <v>0</v>
      </c>
      <c r="L888" t="n">
        <v>0</v>
      </c>
      <c r="M888" t="n">
        <v>0</v>
      </c>
      <c r="N888" t="n">
        <v>0</v>
      </c>
      <c r="O888" t="n">
        <v>2</v>
      </c>
      <c r="P888" t="n">
        <v>0</v>
      </c>
      <c r="Q888" t="n">
        <v>2</v>
      </c>
      <c r="R888" s="2" t="inlineStr">
        <is>
          <t>Duvhök
Tretåig hackspett</t>
        </is>
      </c>
      <c r="S888">
        <f>HYPERLINK("https://klasma.github.io/Logging_2462/artfynd/A 69626-2020 artfynd.xlsx", "A 69626-2020")</f>
        <v/>
      </c>
      <c r="T888">
        <f>HYPERLINK("https://klasma.github.io/Logging_2462/kartor/A 69626-2020 karta.png", "A 69626-2020")</f>
        <v/>
      </c>
      <c r="V888">
        <f>HYPERLINK("https://klasma.github.io/Logging_2462/klagomål/A 69626-2020 FSC-klagomål.docx", "A 69626-2020")</f>
        <v/>
      </c>
      <c r="W888">
        <f>HYPERLINK("https://klasma.github.io/Logging_2462/klagomålsmail/A 69626-2020 FSC-klagomål mail.docx", "A 69626-2020")</f>
        <v/>
      </c>
      <c r="X888">
        <f>HYPERLINK("https://klasma.github.io/Logging_2462/tillsyn/A 69626-2020 tillsynsbegäran.docx", "A 69626-2020")</f>
        <v/>
      </c>
      <c r="Y888">
        <f>HYPERLINK("https://klasma.github.io/Logging_2462/tillsynsmail/A 69626-2020 tillsynsbegäran mail.docx", "A 69626-2020")</f>
        <v/>
      </c>
      <c r="Z888">
        <f>HYPERLINK("https://klasma.github.io/Logging_2462/fåglar/A 69626-2020 prioriterade fågelarter.docx", "A 69626-2020")</f>
        <v/>
      </c>
    </row>
    <row r="889" ht="15" customHeight="1">
      <c r="A889" t="inlineStr">
        <is>
          <t>A 1148-2021</t>
        </is>
      </c>
      <c r="B889" s="1" t="n">
        <v>44207</v>
      </c>
      <c r="C889" s="1" t="n">
        <v>45792</v>
      </c>
      <c r="D889" t="inlineStr">
        <is>
          <t>VÄSTERBOTTENS LÄN</t>
        </is>
      </c>
      <c r="E889" t="inlineStr">
        <is>
          <t>NORDMALING</t>
        </is>
      </c>
      <c r="G889" t="n">
        <v>6.8</v>
      </c>
      <c r="H889" t="n">
        <v>1</v>
      </c>
      <c r="I889" t="n">
        <v>0</v>
      </c>
      <c r="J889" t="n">
        <v>2</v>
      </c>
      <c r="K889" t="n">
        <v>0</v>
      </c>
      <c r="L889" t="n">
        <v>0</v>
      </c>
      <c r="M889" t="n">
        <v>0</v>
      </c>
      <c r="N889" t="n">
        <v>0</v>
      </c>
      <c r="O889" t="n">
        <v>2</v>
      </c>
      <c r="P889" t="n">
        <v>0</v>
      </c>
      <c r="Q889" t="n">
        <v>2</v>
      </c>
      <c r="R889" s="2" t="inlineStr">
        <is>
          <t>Spillkråka
Violettgrå tagellav</t>
        </is>
      </c>
      <c r="S889">
        <f>HYPERLINK("https://klasma.github.io/Logging_2401/artfynd/A 1148-2021 artfynd.xlsx", "A 1148-2021")</f>
        <v/>
      </c>
      <c r="T889">
        <f>HYPERLINK("https://klasma.github.io/Logging_2401/kartor/A 1148-2021 karta.png", "A 1148-2021")</f>
        <v/>
      </c>
      <c r="V889">
        <f>HYPERLINK("https://klasma.github.io/Logging_2401/klagomål/A 1148-2021 FSC-klagomål.docx", "A 1148-2021")</f>
        <v/>
      </c>
      <c r="W889">
        <f>HYPERLINK("https://klasma.github.io/Logging_2401/klagomålsmail/A 1148-2021 FSC-klagomål mail.docx", "A 1148-2021")</f>
        <v/>
      </c>
      <c r="X889">
        <f>HYPERLINK("https://klasma.github.io/Logging_2401/tillsyn/A 1148-2021 tillsynsbegäran.docx", "A 1148-2021")</f>
        <v/>
      </c>
      <c r="Y889">
        <f>HYPERLINK("https://klasma.github.io/Logging_2401/tillsynsmail/A 1148-2021 tillsynsbegäran mail.docx", "A 1148-2021")</f>
        <v/>
      </c>
      <c r="Z889">
        <f>HYPERLINK("https://klasma.github.io/Logging_2401/fåglar/A 1148-2021 prioriterade fågelarter.docx", "A 1148-2021")</f>
        <v/>
      </c>
    </row>
    <row r="890" ht="15" customHeight="1">
      <c r="A890" t="inlineStr">
        <is>
          <t>A 6704-2021</t>
        </is>
      </c>
      <c r="B890" s="1" t="n">
        <v>44235</v>
      </c>
      <c r="C890" s="1" t="n">
        <v>45792</v>
      </c>
      <c r="D890" t="inlineStr">
        <is>
          <t>VÄSTERBOTTENS LÄN</t>
        </is>
      </c>
      <c r="E890" t="inlineStr">
        <is>
          <t>VILHELMINA</t>
        </is>
      </c>
      <c r="G890" t="n">
        <v>14.5</v>
      </c>
      <c r="H890" t="n">
        <v>1</v>
      </c>
      <c r="I890" t="n">
        <v>1</v>
      </c>
      <c r="J890" t="n">
        <v>1</v>
      </c>
      <c r="K890" t="n">
        <v>0</v>
      </c>
      <c r="L890" t="n">
        <v>0</v>
      </c>
      <c r="M890" t="n">
        <v>0</v>
      </c>
      <c r="N890" t="n">
        <v>0</v>
      </c>
      <c r="O890" t="n">
        <v>1</v>
      </c>
      <c r="P890" t="n">
        <v>0</v>
      </c>
      <c r="Q890" t="n">
        <v>2</v>
      </c>
      <c r="R890" s="2" t="inlineStr">
        <is>
          <t>Tretåig hackspett
Trådticka</t>
        </is>
      </c>
      <c r="S890">
        <f>HYPERLINK("https://klasma.github.io/Logging_2462/artfynd/A 6704-2021 artfynd.xlsx", "A 6704-2021")</f>
        <v/>
      </c>
      <c r="T890">
        <f>HYPERLINK("https://klasma.github.io/Logging_2462/kartor/A 6704-2021 karta.png", "A 6704-2021")</f>
        <v/>
      </c>
      <c r="V890">
        <f>HYPERLINK("https://klasma.github.io/Logging_2462/klagomål/A 6704-2021 FSC-klagomål.docx", "A 6704-2021")</f>
        <v/>
      </c>
      <c r="W890">
        <f>HYPERLINK("https://klasma.github.io/Logging_2462/klagomålsmail/A 6704-2021 FSC-klagomål mail.docx", "A 6704-2021")</f>
        <v/>
      </c>
      <c r="X890">
        <f>HYPERLINK("https://klasma.github.io/Logging_2462/tillsyn/A 6704-2021 tillsynsbegäran.docx", "A 6704-2021")</f>
        <v/>
      </c>
      <c r="Y890">
        <f>HYPERLINK("https://klasma.github.io/Logging_2462/tillsynsmail/A 6704-2021 tillsynsbegäran mail.docx", "A 6704-2021")</f>
        <v/>
      </c>
      <c r="Z890">
        <f>HYPERLINK("https://klasma.github.io/Logging_2462/fåglar/A 6704-2021 prioriterade fågelarter.docx", "A 6704-2021")</f>
        <v/>
      </c>
    </row>
    <row r="891" ht="15" customHeight="1">
      <c r="A891" t="inlineStr">
        <is>
          <t>A 11980-2021</t>
        </is>
      </c>
      <c r="B891" s="1" t="n">
        <v>44266</v>
      </c>
      <c r="C891" s="1" t="n">
        <v>45792</v>
      </c>
      <c r="D891" t="inlineStr">
        <is>
          <t>VÄSTERBOTTENS LÄN</t>
        </is>
      </c>
      <c r="E891" t="inlineStr">
        <is>
          <t>VILHELMINA</t>
        </is>
      </c>
      <c r="F891" t="inlineStr">
        <is>
          <t>Allmännings- och besparingsskogar</t>
        </is>
      </c>
      <c r="G891" t="n">
        <v>4.1</v>
      </c>
      <c r="H891" t="n">
        <v>0</v>
      </c>
      <c r="I891" t="n">
        <v>1</v>
      </c>
      <c r="J891" t="n">
        <v>1</v>
      </c>
      <c r="K891" t="n">
        <v>0</v>
      </c>
      <c r="L891" t="n">
        <v>0</v>
      </c>
      <c r="M891" t="n">
        <v>0</v>
      </c>
      <c r="N891" t="n">
        <v>0</v>
      </c>
      <c r="O891" t="n">
        <v>1</v>
      </c>
      <c r="P891" t="n">
        <v>0</v>
      </c>
      <c r="Q891" t="n">
        <v>2</v>
      </c>
      <c r="R891" s="2" t="inlineStr">
        <is>
          <t>Skrovellav
Stuplav</t>
        </is>
      </c>
      <c r="S891">
        <f>HYPERLINK("https://klasma.github.io/Logging_2462/artfynd/A 11980-2021 artfynd.xlsx", "A 11980-2021")</f>
        <v/>
      </c>
      <c r="T891">
        <f>HYPERLINK("https://klasma.github.io/Logging_2462/kartor/A 11980-2021 karta.png", "A 11980-2021")</f>
        <v/>
      </c>
      <c r="V891">
        <f>HYPERLINK("https://klasma.github.io/Logging_2462/klagomål/A 11980-2021 FSC-klagomål.docx", "A 11980-2021")</f>
        <v/>
      </c>
      <c r="W891">
        <f>HYPERLINK("https://klasma.github.io/Logging_2462/klagomålsmail/A 11980-2021 FSC-klagomål mail.docx", "A 11980-2021")</f>
        <v/>
      </c>
      <c r="X891">
        <f>HYPERLINK("https://klasma.github.io/Logging_2462/tillsyn/A 11980-2021 tillsynsbegäran.docx", "A 11980-2021")</f>
        <v/>
      </c>
      <c r="Y891">
        <f>HYPERLINK("https://klasma.github.io/Logging_2462/tillsynsmail/A 11980-2021 tillsynsbegäran mail.docx", "A 11980-2021")</f>
        <v/>
      </c>
    </row>
    <row r="892" ht="15" customHeight="1">
      <c r="A892" t="inlineStr">
        <is>
          <t>A 12321-2021</t>
        </is>
      </c>
      <c r="B892" s="1" t="n">
        <v>44266</v>
      </c>
      <c r="C892" s="1" t="n">
        <v>45792</v>
      </c>
      <c r="D892" t="inlineStr">
        <is>
          <t>VÄSTERBOTTENS LÄN</t>
        </is>
      </c>
      <c r="E892" t="inlineStr">
        <is>
          <t>STORUMAN</t>
        </is>
      </c>
      <c r="G892" t="n">
        <v>8</v>
      </c>
      <c r="H892" t="n">
        <v>0</v>
      </c>
      <c r="I892" t="n">
        <v>1</v>
      </c>
      <c r="J892" t="n">
        <v>1</v>
      </c>
      <c r="K892" t="n">
        <v>0</v>
      </c>
      <c r="L892" t="n">
        <v>0</v>
      </c>
      <c r="M892" t="n">
        <v>0</v>
      </c>
      <c r="N892" t="n">
        <v>0</v>
      </c>
      <c r="O892" t="n">
        <v>1</v>
      </c>
      <c r="P892" t="n">
        <v>0</v>
      </c>
      <c r="Q892" t="n">
        <v>2</v>
      </c>
      <c r="R892" s="2" t="inlineStr">
        <is>
          <t>Gammelgransskål
Svavelriska</t>
        </is>
      </c>
      <c r="S892">
        <f>HYPERLINK("https://klasma.github.io/Logging_2421/artfynd/A 12321-2021 artfynd.xlsx", "A 12321-2021")</f>
        <v/>
      </c>
      <c r="T892">
        <f>HYPERLINK("https://klasma.github.io/Logging_2421/kartor/A 12321-2021 karta.png", "A 12321-2021")</f>
        <v/>
      </c>
      <c r="V892">
        <f>HYPERLINK("https://klasma.github.io/Logging_2421/klagomål/A 12321-2021 FSC-klagomål.docx", "A 12321-2021")</f>
        <v/>
      </c>
      <c r="W892">
        <f>HYPERLINK("https://klasma.github.io/Logging_2421/klagomålsmail/A 12321-2021 FSC-klagomål mail.docx", "A 12321-2021")</f>
        <v/>
      </c>
      <c r="X892">
        <f>HYPERLINK("https://klasma.github.io/Logging_2421/tillsyn/A 12321-2021 tillsynsbegäran.docx", "A 12321-2021")</f>
        <v/>
      </c>
      <c r="Y892">
        <f>HYPERLINK("https://klasma.github.io/Logging_2421/tillsynsmail/A 12321-2021 tillsynsbegäran mail.docx", "A 12321-2021")</f>
        <v/>
      </c>
    </row>
    <row r="893" ht="15" customHeight="1">
      <c r="A893" t="inlineStr">
        <is>
          <t>A 15662-2021</t>
        </is>
      </c>
      <c r="B893" s="1" t="n">
        <v>44286</v>
      </c>
      <c r="C893" s="1" t="n">
        <v>45792</v>
      </c>
      <c r="D893" t="inlineStr">
        <is>
          <t>VÄSTERBOTTENS LÄN</t>
        </is>
      </c>
      <c r="E893" t="inlineStr">
        <is>
          <t>LYCKSELE</t>
        </is>
      </c>
      <c r="F893" t="inlineStr">
        <is>
          <t>Sveaskog</t>
        </is>
      </c>
      <c r="G893" t="n">
        <v>3.4</v>
      </c>
      <c r="H893" t="n">
        <v>0</v>
      </c>
      <c r="I893" t="n">
        <v>0</v>
      </c>
      <c r="J893" t="n">
        <v>2</v>
      </c>
      <c r="K893" t="n">
        <v>0</v>
      </c>
      <c r="L893" t="n">
        <v>0</v>
      </c>
      <c r="M893" t="n">
        <v>0</v>
      </c>
      <c r="N893" t="n">
        <v>0</v>
      </c>
      <c r="O893" t="n">
        <v>2</v>
      </c>
      <c r="P893" t="n">
        <v>0</v>
      </c>
      <c r="Q893" t="n">
        <v>2</v>
      </c>
      <c r="R893" s="2" t="inlineStr">
        <is>
          <t>Lunglav
Reliktbock</t>
        </is>
      </c>
      <c r="S893">
        <f>HYPERLINK("https://klasma.github.io/Logging_2481/artfynd/A 15662-2021 artfynd.xlsx", "A 15662-2021")</f>
        <v/>
      </c>
      <c r="T893">
        <f>HYPERLINK("https://klasma.github.io/Logging_2481/kartor/A 15662-2021 karta.png", "A 15662-2021")</f>
        <v/>
      </c>
      <c r="V893">
        <f>HYPERLINK("https://klasma.github.io/Logging_2481/klagomål/A 15662-2021 FSC-klagomål.docx", "A 15662-2021")</f>
        <v/>
      </c>
      <c r="W893">
        <f>HYPERLINK("https://klasma.github.io/Logging_2481/klagomålsmail/A 15662-2021 FSC-klagomål mail.docx", "A 15662-2021")</f>
        <v/>
      </c>
      <c r="X893">
        <f>HYPERLINK("https://klasma.github.io/Logging_2481/tillsyn/A 15662-2021 tillsynsbegäran.docx", "A 15662-2021")</f>
        <v/>
      </c>
      <c r="Y893">
        <f>HYPERLINK("https://klasma.github.io/Logging_2481/tillsynsmail/A 15662-2021 tillsynsbegäran mail.docx", "A 15662-2021")</f>
        <v/>
      </c>
    </row>
    <row r="894" ht="15" customHeight="1">
      <c r="A894" t="inlineStr">
        <is>
          <t>A 19234-2021</t>
        </is>
      </c>
      <c r="B894" s="1" t="n">
        <v>44309</v>
      </c>
      <c r="C894" s="1" t="n">
        <v>45792</v>
      </c>
      <c r="D894" t="inlineStr">
        <is>
          <t>VÄSTERBOTTENS LÄN</t>
        </is>
      </c>
      <c r="E894" t="inlineStr">
        <is>
          <t>VILHELMINA</t>
        </is>
      </c>
      <c r="F894" t="inlineStr">
        <is>
          <t>Övriga Aktiebolag</t>
        </is>
      </c>
      <c r="G894" t="n">
        <v>12</v>
      </c>
      <c r="H894" t="n">
        <v>0</v>
      </c>
      <c r="I894" t="n">
        <v>0</v>
      </c>
      <c r="J894" t="n">
        <v>2</v>
      </c>
      <c r="K894" t="n">
        <v>0</v>
      </c>
      <c r="L894" t="n">
        <v>0</v>
      </c>
      <c r="M894" t="n">
        <v>0</v>
      </c>
      <c r="N894" t="n">
        <v>0</v>
      </c>
      <c r="O894" t="n">
        <v>2</v>
      </c>
      <c r="P894" t="n">
        <v>0</v>
      </c>
      <c r="Q894" t="n">
        <v>2</v>
      </c>
      <c r="R894" s="2" t="inlineStr">
        <is>
          <t>Granticka
Harticka</t>
        </is>
      </c>
      <c r="S894">
        <f>HYPERLINK("https://klasma.github.io/Logging_2462/artfynd/A 19234-2021 artfynd.xlsx", "A 19234-2021")</f>
        <v/>
      </c>
      <c r="T894">
        <f>HYPERLINK("https://klasma.github.io/Logging_2462/kartor/A 19234-2021 karta.png", "A 19234-2021")</f>
        <v/>
      </c>
      <c r="V894">
        <f>HYPERLINK("https://klasma.github.io/Logging_2462/klagomål/A 19234-2021 FSC-klagomål.docx", "A 19234-2021")</f>
        <v/>
      </c>
      <c r="W894">
        <f>HYPERLINK("https://klasma.github.io/Logging_2462/klagomålsmail/A 19234-2021 FSC-klagomål mail.docx", "A 19234-2021")</f>
        <v/>
      </c>
      <c r="X894">
        <f>HYPERLINK("https://klasma.github.io/Logging_2462/tillsyn/A 19234-2021 tillsynsbegäran.docx", "A 19234-2021")</f>
        <v/>
      </c>
      <c r="Y894">
        <f>HYPERLINK("https://klasma.github.io/Logging_2462/tillsynsmail/A 19234-2021 tillsynsbegäran mail.docx", "A 19234-2021")</f>
        <v/>
      </c>
    </row>
    <row r="895" ht="15" customHeight="1">
      <c r="A895" t="inlineStr">
        <is>
          <t>A 29352-2021</t>
        </is>
      </c>
      <c r="B895" s="1" t="n">
        <v>44361</v>
      </c>
      <c r="C895" s="1" t="n">
        <v>45792</v>
      </c>
      <c r="D895" t="inlineStr">
        <is>
          <t>VÄSTERBOTTENS LÄN</t>
        </is>
      </c>
      <c r="E895" t="inlineStr">
        <is>
          <t>STORUMAN</t>
        </is>
      </c>
      <c r="F895" t="inlineStr">
        <is>
          <t>Sveaskog</t>
        </is>
      </c>
      <c r="G895" t="n">
        <v>5.4</v>
      </c>
      <c r="H895" t="n">
        <v>0</v>
      </c>
      <c r="I895" t="n">
        <v>1</v>
      </c>
      <c r="J895" t="n">
        <v>1</v>
      </c>
      <c r="K895" t="n">
        <v>0</v>
      </c>
      <c r="L895" t="n">
        <v>0</v>
      </c>
      <c r="M895" t="n">
        <v>0</v>
      </c>
      <c r="N895" t="n">
        <v>0</v>
      </c>
      <c r="O895" t="n">
        <v>1</v>
      </c>
      <c r="P895" t="n">
        <v>0</v>
      </c>
      <c r="Q895" t="n">
        <v>2</v>
      </c>
      <c r="R895" s="2" t="inlineStr">
        <is>
          <t>Lunglav
Stuplav</t>
        </is>
      </c>
      <c r="S895">
        <f>HYPERLINK("https://klasma.github.io/Logging_2421/artfynd/A 29352-2021 artfynd.xlsx", "A 29352-2021")</f>
        <v/>
      </c>
      <c r="T895">
        <f>HYPERLINK("https://klasma.github.io/Logging_2421/kartor/A 29352-2021 karta.png", "A 29352-2021")</f>
        <v/>
      </c>
      <c r="V895">
        <f>HYPERLINK("https://klasma.github.io/Logging_2421/klagomål/A 29352-2021 FSC-klagomål.docx", "A 29352-2021")</f>
        <v/>
      </c>
      <c r="W895">
        <f>HYPERLINK("https://klasma.github.io/Logging_2421/klagomålsmail/A 29352-2021 FSC-klagomål mail.docx", "A 29352-2021")</f>
        <v/>
      </c>
      <c r="X895">
        <f>HYPERLINK("https://klasma.github.io/Logging_2421/tillsyn/A 29352-2021 tillsynsbegäran.docx", "A 29352-2021")</f>
        <v/>
      </c>
      <c r="Y895">
        <f>HYPERLINK("https://klasma.github.io/Logging_2421/tillsynsmail/A 29352-2021 tillsynsbegäran mail.docx", "A 29352-2021")</f>
        <v/>
      </c>
    </row>
    <row r="896" ht="15" customHeight="1">
      <c r="A896" t="inlineStr">
        <is>
          <t>A 35297-2021</t>
        </is>
      </c>
      <c r="B896" s="1" t="n">
        <v>44384</v>
      </c>
      <c r="C896" s="1" t="n">
        <v>45792</v>
      </c>
      <c r="D896" t="inlineStr">
        <is>
          <t>VÄSTERBOTTENS LÄN</t>
        </is>
      </c>
      <c r="E896" t="inlineStr">
        <is>
          <t>UMEÅ</t>
        </is>
      </c>
      <c r="G896" t="n">
        <v>8</v>
      </c>
      <c r="H896" t="n">
        <v>0</v>
      </c>
      <c r="I896" t="n">
        <v>1</v>
      </c>
      <c r="J896" t="n">
        <v>0</v>
      </c>
      <c r="K896" t="n">
        <v>1</v>
      </c>
      <c r="L896" t="n">
        <v>0</v>
      </c>
      <c r="M896" t="n">
        <v>0</v>
      </c>
      <c r="N896" t="n">
        <v>0</v>
      </c>
      <c r="O896" t="n">
        <v>1</v>
      </c>
      <c r="P896" t="n">
        <v>1</v>
      </c>
      <c r="Q896" t="n">
        <v>2</v>
      </c>
      <c r="R896" s="2" t="inlineStr">
        <is>
          <t>Aspgelélav
Stuplav</t>
        </is>
      </c>
      <c r="S896">
        <f>HYPERLINK("https://klasma.github.io/Logging_2480/artfynd/A 35297-2021 artfynd.xlsx", "A 35297-2021")</f>
        <v/>
      </c>
      <c r="T896">
        <f>HYPERLINK("https://klasma.github.io/Logging_2480/kartor/A 35297-2021 karta.png", "A 35297-2021")</f>
        <v/>
      </c>
      <c r="V896">
        <f>HYPERLINK("https://klasma.github.io/Logging_2480/klagomål/A 35297-2021 FSC-klagomål.docx", "A 35297-2021")</f>
        <v/>
      </c>
      <c r="W896">
        <f>HYPERLINK("https://klasma.github.io/Logging_2480/klagomålsmail/A 35297-2021 FSC-klagomål mail.docx", "A 35297-2021")</f>
        <v/>
      </c>
      <c r="X896">
        <f>HYPERLINK("https://klasma.github.io/Logging_2480/tillsyn/A 35297-2021 tillsynsbegäran.docx", "A 35297-2021")</f>
        <v/>
      </c>
      <c r="Y896">
        <f>HYPERLINK("https://klasma.github.io/Logging_2480/tillsynsmail/A 35297-2021 tillsynsbegäran mail.docx", "A 35297-2021")</f>
        <v/>
      </c>
    </row>
    <row r="897" ht="15" customHeight="1">
      <c r="A897" t="inlineStr">
        <is>
          <t>A 35733-2021</t>
        </is>
      </c>
      <c r="B897" s="1" t="n">
        <v>44385</v>
      </c>
      <c r="C897" s="1" t="n">
        <v>45792</v>
      </c>
      <c r="D897" t="inlineStr">
        <is>
          <t>VÄSTERBOTTENS LÄN</t>
        </is>
      </c>
      <c r="E897" t="inlineStr">
        <is>
          <t>SKELLEFTEÅ</t>
        </is>
      </c>
      <c r="G897" t="n">
        <v>0.9</v>
      </c>
      <c r="H897" t="n">
        <v>2</v>
      </c>
      <c r="I897" t="n">
        <v>0</v>
      </c>
      <c r="J897" t="n">
        <v>1</v>
      </c>
      <c r="K897" t="n">
        <v>0</v>
      </c>
      <c r="L897" t="n">
        <v>0</v>
      </c>
      <c r="M897" t="n">
        <v>0</v>
      </c>
      <c r="N897" t="n">
        <v>0</v>
      </c>
      <c r="O897" t="n">
        <v>1</v>
      </c>
      <c r="P897" t="n">
        <v>0</v>
      </c>
      <c r="Q897" t="n">
        <v>2</v>
      </c>
      <c r="R897" s="2" t="inlineStr">
        <is>
          <t>Spillkråka
Tjäder</t>
        </is>
      </c>
      <c r="S897">
        <f>HYPERLINK("https://klasma.github.io/Logging_2482/artfynd/A 35733-2021 artfynd.xlsx", "A 35733-2021")</f>
        <v/>
      </c>
      <c r="T897">
        <f>HYPERLINK("https://klasma.github.io/Logging_2482/kartor/A 35733-2021 karta.png", "A 35733-2021")</f>
        <v/>
      </c>
      <c r="V897">
        <f>HYPERLINK("https://klasma.github.io/Logging_2482/klagomål/A 35733-2021 FSC-klagomål.docx", "A 35733-2021")</f>
        <v/>
      </c>
      <c r="W897">
        <f>HYPERLINK("https://klasma.github.io/Logging_2482/klagomålsmail/A 35733-2021 FSC-klagomål mail.docx", "A 35733-2021")</f>
        <v/>
      </c>
      <c r="X897">
        <f>HYPERLINK("https://klasma.github.io/Logging_2482/tillsyn/A 35733-2021 tillsynsbegäran.docx", "A 35733-2021")</f>
        <v/>
      </c>
      <c r="Y897">
        <f>HYPERLINK("https://klasma.github.io/Logging_2482/tillsynsmail/A 35733-2021 tillsynsbegäran mail.docx", "A 35733-2021")</f>
        <v/>
      </c>
      <c r="Z897">
        <f>HYPERLINK("https://klasma.github.io/Logging_2482/fåglar/A 35733-2021 prioriterade fågelarter.docx", "A 35733-2021")</f>
        <v/>
      </c>
    </row>
    <row r="898" ht="15" customHeight="1">
      <c r="A898" t="inlineStr">
        <is>
          <t>A 35585-2021</t>
        </is>
      </c>
      <c r="B898" s="1" t="n">
        <v>44386</v>
      </c>
      <c r="C898" s="1" t="n">
        <v>45792</v>
      </c>
      <c r="D898" t="inlineStr">
        <is>
          <t>VÄSTERBOTTENS LÄN</t>
        </is>
      </c>
      <c r="E898" t="inlineStr">
        <is>
          <t>SKELLEFTEÅ</t>
        </is>
      </c>
      <c r="F898" t="inlineStr">
        <is>
          <t>Holmen skog AB</t>
        </is>
      </c>
      <c r="G898" t="n">
        <v>8.4</v>
      </c>
      <c r="H898" t="n">
        <v>0</v>
      </c>
      <c r="I898" t="n">
        <v>0</v>
      </c>
      <c r="J898" t="n">
        <v>2</v>
      </c>
      <c r="K898" t="n">
        <v>0</v>
      </c>
      <c r="L898" t="n">
        <v>0</v>
      </c>
      <c r="M898" t="n">
        <v>0</v>
      </c>
      <c r="N898" t="n">
        <v>0</v>
      </c>
      <c r="O898" t="n">
        <v>2</v>
      </c>
      <c r="P898" t="n">
        <v>0</v>
      </c>
      <c r="Q898" t="n">
        <v>2</v>
      </c>
      <c r="R898" s="2" t="inlineStr">
        <is>
          <t>Garnlav
Ullticka</t>
        </is>
      </c>
      <c r="S898">
        <f>HYPERLINK("https://klasma.github.io/Logging_2482/artfynd/A 35585-2021 artfynd.xlsx", "A 35585-2021")</f>
        <v/>
      </c>
      <c r="T898">
        <f>HYPERLINK("https://klasma.github.io/Logging_2482/kartor/A 35585-2021 karta.png", "A 35585-2021")</f>
        <v/>
      </c>
      <c r="V898">
        <f>HYPERLINK("https://klasma.github.io/Logging_2482/klagomål/A 35585-2021 FSC-klagomål.docx", "A 35585-2021")</f>
        <v/>
      </c>
      <c r="W898">
        <f>HYPERLINK("https://klasma.github.io/Logging_2482/klagomålsmail/A 35585-2021 FSC-klagomål mail.docx", "A 35585-2021")</f>
        <v/>
      </c>
      <c r="X898">
        <f>HYPERLINK("https://klasma.github.io/Logging_2482/tillsyn/A 35585-2021 tillsynsbegäran.docx", "A 35585-2021")</f>
        <v/>
      </c>
      <c r="Y898">
        <f>HYPERLINK("https://klasma.github.io/Logging_2482/tillsynsmail/A 35585-2021 tillsynsbegäran mail.docx", "A 35585-2021")</f>
        <v/>
      </c>
    </row>
    <row r="899" ht="15" customHeight="1">
      <c r="A899" t="inlineStr">
        <is>
          <t>A 37785-2021</t>
        </is>
      </c>
      <c r="B899" s="1" t="n">
        <v>44401</v>
      </c>
      <c r="C899" s="1" t="n">
        <v>45792</v>
      </c>
      <c r="D899" t="inlineStr">
        <is>
          <t>VÄSTERBOTTENS LÄN</t>
        </is>
      </c>
      <c r="E899" t="inlineStr">
        <is>
          <t>VILHELMINA</t>
        </is>
      </c>
      <c r="G899" t="n">
        <v>51.5</v>
      </c>
      <c r="H899" t="n">
        <v>1</v>
      </c>
      <c r="I899" t="n">
        <v>0</v>
      </c>
      <c r="J899" t="n">
        <v>1</v>
      </c>
      <c r="K899" t="n">
        <v>0</v>
      </c>
      <c r="L899" t="n">
        <v>0</v>
      </c>
      <c r="M899" t="n">
        <v>0</v>
      </c>
      <c r="N899" t="n">
        <v>0</v>
      </c>
      <c r="O899" t="n">
        <v>1</v>
      </c>
      <c r="P899" t="n">
        <v>0</v>
      </c>
      <c r="Q899" t="n">
        <v>2</v>
      </c>
      <c r="R899" s="2" t="inlineStr">
        <is>
          <t>Ullticka
Fläcknycklar</t>
        </is>
      </c>
      <c r="S899">
        <f>HYPERLINK("https://klasma.github.io/Logging_2462/artfynd/A 37785-2021 artfynd.xlsx", "A 37785-2021")</f>
        <v/>
      </c>
      <c r="T899">
        <f>HYPERLINK("https://klasma.github.io/Logging_2462/kartor/A 37785-2021 karta.png", "A 37785-2021")</f>
        <v/>
      </c>
      <c r="V899">
        <f>HYPERLINK("https://klasma.github.io/Logging_2462/klagomål/A 37785-2021 FSC-klagomål.docx", "A 37785-2021")</f>
        <v/>
      </c>
      <c r="W899">
        <f>HYPERLINK("https://klasma.github.io/Logging_2462/klagomålsmail/A 37785-2021 FSC-klagomål mail.docx", "A 37785-2021")</f>
        <v/>
      </c>
      <c r="X899">
        <f>HYPERLINK("https://klasma.github.io/Logging_2462/tillsyn/A 37785-2021 tillsynsbegäran.docx", "A 37785-2021")</f>
        <v/>
      </c>
      <c r="Y899">
        <f>HYPERLINK("https://klasma.github.io/Logging_2462/tillsynsmail/A 37785-2021 tillsynsbegäran mail.docx", "A 37785-2021")</f>
        <v/>
      </c>
    </row>
    <row r="900" ht="15" customHeight="1">
      <c r="A900" t="inlineStr">
        <is>
          <t>A 38440-2021</t>
        </is>
      </c>
      <c r="B900" s="1" t="n">
        <v>44406</v>
      </c>
      <c r="C900" s="1" t="n">
        <v>45792</v>
      </c>
      <c r="D900" t="inlineStr">
        <is>
          <t>VÄSTERBOTTENS LÄN</t>
        </is>
      </c>
      <c r="E900" t="inlineStr">
        <is>
          <t>UMEÅ</t>
        </is>
      </c>
      <c r="F900" t="inlineStr">
        <is>
          <t>Kommuner</t>
        </is>
      </c>
      <c r="G900" t="n">
        <v>2.6</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HYPERLINK("https://klasma.github.io/Logging_2480/artfynd/A 38440-2021 artfynd.xlsx", "A 38440-2021")</f>
        <v/>
      </c>
      <c r="T900">
        <f>HYPERLINK("https://klasma.github.io/Logging_2480/kartor/A 38440-2021 karta.png", "A 38440-2021")</f>
        <v/>
      </c>
      <c r="V900">
        <f>HYPERLINK("https://klasma.github.io/Logging_2480/klagomål/A 38440-2021 FSC-klagomål.docx", "A 38440-2021")</f>
        <v/>
      </c>
      <c r="W900">
        <f>HYPERLINK("https://klasma.github.io/Logging_2480/klagomålsmail/A 38440-2021 FSC-klagomål mail.docx", "A 38440-2021")</f>
        <v/>
      </c>
      <c r="X900">
        <f>HYPERLINK("https://klasma.github.io/Logging_2480/tillsyn/A 38440-2021 tillsynsbegäran.docx", "A 38440-2021")</f>
        <v/>
      </c>
      <c r="Y900">
        <f>HYPERLINK("https://klasma.github.io/Logging_2480/tillsynsmail/A 38440-2021 tillsynsbegäran mail.docx", "A 38440-2021")</f>
        <v/>
      </c>
    </row>
    <row r="901" ht="15" customHeight="1">
      <c r="A901" t="inlineStr">
        <is>
          <t>A 38443-2021</t>
        </is>
      </c>
      <c r="B901" s="1" t="n">
        <v>44406</v>
      </c>
      <c r="C901" s="1" t="n">
        <v>45792</v>
      </c>
      <c r="D901" t="inlineStr">
        <is>
          <t>VÄSTERBOTTENS LÄN</t>
        </is>
      </c>
      <c r="E901" t="inlineStr">
        <is>
          <t>UMEÅ</t>
        </is>
      </c>
      <c r="F901" t="inlineStr">
        <is>
          <t>Kommuner</t>
        </is>
      </c>
      <c r="G901" t="n">
        <v>2.8</v>
      </c>
      <c r="H901" t="n">
        <v>0</v>
      </c>
      <c r="I901" t="n">
        <v>1</v>
      </c>
      <c r="J901" t="n">
        <v>1</v>
      </c>
      <c r="K901" t="n">
        <v>0</v>
      </c>
      <c r="L901" t="n">
        <v>0</v>
      </c>
      <c r="M901" t="n">
        <v>0</v>
      </c>
      <c r="N901" t="n">
        <v>0</v>
      </c>
      <c r="O901" t="n">
        <v>1</v>
      </c>
      <c r="P901" t="n">
        <v>0</v>
      </c>
      <c r="Q901" t="n">
        <v>2</v>
      </c>
      <c r="R901" s="2" t="inlineStr">
        <is>
          <t>Motaggsvamp
Skarp dropptaggsvamp</t>
        </is>
      </c>
      <c r="S901">
        <f>HYPERLINK("https://klasma.github.io/Logging_2480/artfynd/A 38443-2021 artfynd.xlsx", "A 38443-2021")</f>
        <v/>
      </c>
      <c r="T901">
        <f>HYPERLINK("https://klasma.github.io/Logging_2480/kartor/A 38443-2021 karta.png", "A 38443-2021")</f>
        <v/>
      </c>
      <c r="V901">
        <f>HYPERLINK("https://klasma.github.io/Logging_2480/klagomål/A 38443-2021 FSC-klagomål.docx", "A 38443-2021")</f>
        <v/>
      </c>
      <c r="W901">
        <f>HYPERLINK("https://klasma.github.io/Logging_2480/klagomålsmail/A 38443-2021 FSC-klagomål mail.docx", "A 38443-2021")</f>
        <v/>
      </c>
      <c r="X901">
        <f>HYPERLINK("https://klasma.github.io/Logging_2480/tillsyn/A 38443-2021 tillsynsbegäran.docx", "A 38443-2021")</f>
        <v/>
      </c>
      <c r="Y901">
        <f>HYPERLINK("https://klasma.github.io/Logging_2480/tillsynsmail/A 38443-2021 tillsynsbegäran mail.docx", "A 38443-2021")</f>
        <v/>
      </c>
    </row>
    <row r="902" ht="15" customHeight="1">
      <c r="A902" t="inlineStr">
        <is>
          <t>A 38689-2021</t>
        </is>
      </c>
      <c r="B902" s="1" t="n">
        <v>44407</v>
      </c>
      <c r="C902" s="1" t="n">
        <v>45792</v>
      </c>
      <c r="D902" t="inlineStr">
        <is>
          <t>VÄSTERBOTTENS LÄN</t>
        </is>
      </c>
      <c r="E902" t="inlineStr">
        <is>
          <t>UMEÅ</t>
        </is>
      </c>
      <c r="F902" t="inlineStr">
        <is>
          <t>Kommuner</t>
        </is>
      </c>
      <c r="G902" t="n">
        <v>1.4</v>
      </c>
      <c r="H902" t="n">
        <v>0</v>
      </c>
      <c r="I902" t="n">
        <v>0</v>
      </c>
      <c r="J902" t="n">
        <v>2</v>
      </c>
      <c r="K902" t="n">
        <v>0</v>
      </c>
      <c r="L902" t="n">
        <v>0</v>
      </c>
      <c r="M902" t="n">
        <v>0</v>
      </c>
      <c r="N902" t="n">
        <v>0</v>
      </c>
      <c r="O902" t="n">
        <v>2</v>
      </c>
      <c r="P902" t="n">
        <v>0</v>
      </c>
      <c r="Q902" t="n">
        <v>2</v>
      </c>
      <c r="R902" s="2" t="inlineStr">
        <is>
          <t>Gulbandad brunbagge
Rödhalsad vedsvampbagge</t>
        </is>
      </c>
      <c r="S902">
        <f>HYPERLINK("https://klasma.github.io/Logging_2480/artfynd/A 38689-2021 artfynd.xlsx", "A 38689-2021")</f>
        <v/>
      </c>
      <c r="T902">
        <f>HYPERLINK("https://klasma.github.io/Logging_2480/kartor/A 38689-2021 karta.png", "A 38689-2021")</f>
        <v/>
      </c>
      <c r="V902">
        <f>HYPERLINK("https://klasma.github.io/Logging_2480/klagomål/A 38689-2021 FSC-klagomål.docx", "A 38689-2021")</f>
        <v/>
      </c>
      <c r="W902">
        <f>HYPERLINK("https://klasma.github.io/Logging_2480/klagomålsmail/A 38689-2021 FSC-klagomål mail.docx", "A 38689-2021")</f>
        <v/>
      </c>
      <c r="X902">
        <f>HYPERLINK("https://klasma.github.io/Logging_2480/tillsyn/A 38689-2021 tillsynsbegäran.docx", "A 38689-2021")</f>
        <v/>
      </c>
      <c r="Y902">
        <f>HYPERLINK("https://klasma.github.io/Logging_2480/tillsynsmail/A 38689-2021 tillsynsbegäran mail.docx", "A 38689-2021")</f>
        <v/>
      </c>
    </row>
    <row r="903" ht="15" customHeight="1">
      <c r="A903" t="inlineStr">
        <is>
          <t>A 40939-2021</t>
        </is>
      </c>
      <c r="B903" s="1" t="n">
        <v>44421</v>
      </c>
      <c r="C903" s="1" t="n">
        <v>45792</v>
      </c>
      <c r="D903" t="inlineStr">
        <is>
          <t>VÄSTERBOTTENS LÄN</t>
        </is>
      </c>
      <c r="E903" t="inlineStr">
        <is>
          <t>STORUMAN</t>
        </is>
      </c>
      <c r="G903" t="n">
        <v>4.8</v>
      </c>
      <c r="H903" t="n">
        <v>1</v>
      </c>
      <c r="I903" t="n">
        <v>0</v>
      </c>
      <c r="J903" t="n">
        <v>1</v>
      </c>
      <c r="K903" t="n">
        <v>1</v>
      </c>
      <c r="L903" t="n">
        <v>0</v>
      </c>
      <c r="M903" t="n">
        <v>0</v>
      </c>
      <c r="N903" t="n">
        <v>0</v>
      </c>
      <c r="O903" t="n">
        <v>2</v>
      </c>
      <c r="P903" t="n">
        <v>1</v>
      </c>
      <c r="Q903" t="n">
        <v>2</v>
      </c>
      <c r="R903" s="2" t="inlineStr">
        <is>
          <t>Knärot
Lunglav</t>
        </is>
      </c>
      <c r="S903">
        <f>HYPERLINK("https://klasma.github.io/Logging_2421/artfynd/A 40939-2021 artfynd.xlsx", "A 40939-2021")</f>
        <v/>
      </c>
      <c r="T903">
        <f>HYPERLINK("https://klasma.github.io/Logging_2421/kartor/A 40939-2021 karta.png", "A 40939-2021")</f>
        <v/>
      </c>
      <c r="U903">
        <f>HYPERLINK("https://klasma.github.io/Logging_2421/knärot/A 40939-2021 karta knärot.png", "A 40939-2021")</f>
        <v/>
      </c>
      <c r="V903">
        <f>HYPERLINK("https://klasma.github.io/Logging_2421/klagomål/A 40939-2021 FSC-klagomål.docx", "A 40939-2021")</f>
        <v/>
      </c>
      <c r="W903">
        <f>HYPERLINK("https://klasma.github.io/Logging_2421/klagomålsmail/A 40939-2021 FSC-klagomål mail.docx", "A 40939-2021")</f>
        <v/>
      </c>
      <c r="X903">
        <f>HYPERLINK("https://klasma.github.io/Logging_2421/tillsyn/A 40939-2021 tillsynsbegäran.docx", "A 40939-2021")</f>
        <v/>
      </c>
      <c r="Y903">
        <f>HYPERLINK("https://klasma.github.io/Logging_2421/tillsynsmail/A 40939-2021 tillsynsbegäran mail.docx", "A 40939-2021")</f>
        <v/>
      </c>
    </row>
    <row r="904" ht="15" customHeight="1">
      <c r="A904" t="inlineStr">
        <is>
          <t>A 43265-2021</t>
        </is>
      </c>
      <c r="B904" s="1" t="n">
        <v>44432</v>
      </c>
      <c r="C904" s="1" t="n">
        <v>45792</v>
      </c>
      <c r="D904" t="inlineStr">
        <is>
          <t>VÄSTERBOTTENS LÄN</t>
        </is>
      </c>
      <c r="E904" t="inlineStr">
        <is>
          <t>SORSELE</t>
        </is>
      </c>
      <c r="G904" t="n">
        <v>38.3</v>
      </c>
      <c r="H904" t="n">
        <v>1</v>
      </c>
      <c r="I904" t="n">
        <v>0</v>
      </c>
      <c r="J904" t="n">
        <v>1</v>
      </c>
      <c r="K904" t="n">
        <v>0</v>
      </c>
      <c r="L904" t="n">
        <v>0</v>
      </c>
      <c r="M904" t="n">
        <v>0</v>
      </c>
      <c r="N904" t="n">
        <v>0</v>
      </c>
      <c r="O904" t="n">
        <v>1</v>
      </c>
      <c r="P904" t="n">
        <v>0</v>
      </c>
      <c r="Q904" t="n">
        <v>2</v>
      </c>
      <c r="R904" s="2" t="inlineStr">
        <is>
          <t>Garnlav
Fläcknycklar</t>
        </is>
      </c>
      <c r="S904">
        <f>HYPERLINK("https://klasma.github.io/Logging_2422/artfynd/A 43265-2021 artfynd.xlsx", "A 43265-2021")</f>
        <v/>
      </c>
      <c r="T904">
        <f>HYPERLINK("https://klasma.github.io/Logging_2422/kartor/A 43265-2021 karta.png", "A 43265-2021")</f>
        <v/>
      </c>
      <c r="V904">
        <f>HYPERLINK("https://klasma.github.io/Logging_2422/klagomål/A 43265-2021 FSC-klagomål.docx", "A 43265-2021")</f>
        <v/>
      </c>
      <c r="W904">
        <f>HYPERLINK("https://klasma.github.io/Logging_2422/klagomålsmail/A 43265-2021 FSC-klagomål mail.docx", "A 43265-2021")</f>
        <v/>
      </c>
      <c r="X904">
        <f>HYPERLINK("https://klasma.github.io/Logging_2422/tillsyn/A 43265-2021 tillsynsbegäran.docx", "A 43265-2021")</f>
        <v/>
      </c>
      <c r="Y904">
        <f>HYPERLINK("https://klasma.github.io/Logging_2422/tillsynsmail/A 43265-2021 tillsynsbegäran mail.docx", "A 43265-2021")</f>
        <v/>
      </c>
    </row>
    <row r="905" ht="15" customHeight="1">
      <c r="A905" t="inlineStr">
        <is>
          <t>A 52103-2021</t>
        </is>
      </c>
      <c r="B905" s="1" t="n">
        <v>44463</v>
      </c>
      <c r="C905" s="1" t="n">
        <v>45792</v>
      </c>
      <c r="D905" t="inlineStr">
        <is>
          <t>VÄSTERBOTTENS LÄN</t>
        </is>
      </c>
      <c r="E905" t="inlineStr">
        <is>
          <t>VINDELN</t>
        </is>
      </c>
      <c r="F905" t="inlineStr">
        <is>
          <t>Sveaskog</t>
        </is>
      </c>
      <c r="G905" t="n">
        <v>5.8</v>
      </c>
      <c r="H905" t="n">
        <v>0</v>
      </c>
      <c r="I905" t="n">
        <v>0</v>
      </c>
      <c r="J905" t="n">
        <v>2</v>
      </c>
      <c r="K905" t="n">
        <v>0</v>
      </c>
      <c r="L905" t="n">
        <v>0</v>
      </c>
      <c r="M905" t="n">
        <v>0</v>
      </c>
      <c r="N905" t="n">
        <v>0</v>
      </c>
      <c r="O905" t="n">
        <v>2</v>
      </c>
      <c r="P905" t="n">
        <v>0</v>
      </c>
      <c r="Q905" t="n">
        <v>2</v>
      </c>
      <c r="R905" s="2" t="inlineStr">
        <is>
          <t>Blå taggsvamp
Vaddporing</t>
        </is>
      </c>
      <c r="S905">
        <f>HYPERLINK("https://klasma.github.io/Logging_2404/artfynd/A 52103-2021 artfynd.xlsx", "A 52103-2021")</f>
        <v/>
      </c>
      <c r="T905">
        <f>HYPERLINK("https://klasma.github.io/Logging_2404/kartor/A 52103-2021 karta.png", "A 52103-2021")</f>
        <v/>
      </c>
      <c r="V905">
        <f>HYPERLINK("https://klasma.github.io/Logging_2404/klagomål/A 52103-2021 FSC-klagomål.docx", "A 52103-2021")</f>
        <v/>
      </c>
      <c r="W905">
        <f>HYPERLINK("https://klasma.github.io/Logging_2404/klagomålsmail/A 52103-2021 FSC-klagomål mail.docx", "A 52103-2021")</f>
        <v/>
      </c>
      <c r="X905">
        <f>HYPERLINK("https://klasma.github.io/Logging_2404/tillsyn/A 52103-2021 tillsynsbegäran.docx", "A 52103-2021")</f>
        <v/>
      </c>
      <c r="Y905">
        <f>HYPERLINK("https://klasma.github.io/Logging_2404/tillsynsmail/A 52103-2021 tillsynsbegäran mail.docx", "A 52103-2021")</f>
        <v/>
      </c>
    </row>
    <row r="906" ht="15" customHeight="1">
      <c r="A906" t="inlineStr">
        <is>
          <t>A 55745-2021</t>
        </is>
      </c>
      <c r="B906" s="1" t="n">
        <v>44476</v>
      </c>
      <c r="C906" s="1" t="n">
        <v>45792</v>
      </c>
      <c r="D906" t="inlineStr">
        <is>
          <t>VÄSTERBOTTENS LÄN</t>
        </is>
      </c>
      <c r="E906" t="inlineStr">
        <is>
          <t>NORSJÖ</t>
        </is>
      </c>
      <c r="F906" t="inlineStr">
        <is>
          <t>Sveaskog</t>
        </is>
      </c>
      <c r="G906" t="n">
        <v>21.5</v>
      </c>
      <c r="H906" t="n">
        <v>0</v>
      </c>
      <c r="I906" t="n">
        <v>0</v>
      </c>
      <c r="J906" t="n">
        <v>2</v>
      </c>
      <c r="K906" t="n">
        <v>0</v>
      </c>
      <c r="L906" t="n">
        <v>0</v>
      </c>
      <c r="M906" t="n">
        <v>0</v>
      </c>
      <c r="N906" t="n">
        <v>0</v>
      </c>
      <c r="O906" t="n">
        <v>2</v>
      </c>
      <c r="P906" t="n">
        <v>0</v>
      </c>
      <c r="Q906" t="n">
        <v>2</v>
      </c>
      <c r="R906" s="2" t="inlineStr">
        <is>
          <t>Lunglav
Vitgrynig nållav</t>
        </is>
      </c>
      <c r="S906">
        <f>HYPERLINK("https://klasma.github.io/Logging_2417/artfynd/A 55745-2021 artfynd.xlsx", "A 55745-2021")</f>
        <v/>
      </c>
      <c r="T906">
        <f>HYPERLINK("https://klasma.github.io/Logging_2417/kartor/A 55745-2021 karta.png", "A 55745-2021")</f>
        <v/>
      </c>
      <c r="V906">
        <f>HYPERLINK("https://klasma.github.io/Logging_2417/klagomål/A 55745-2021 FSC-klagomål.docx", "A 55745-2021")</f>
        <v/>
      </c>
      <c r="W906">
        <f>HYPERLINK("https://klasma.github.io/Logging_2417/klagomålsmail/A 55745-2021 FSC-klagomål mail.docx", "A 55745-2021")</f>
        <v/>
      </c>
      <c r="X906">
        <f>HYPERLINK("https://klasma.github.io/Logging_2417/tillsyn/A 55745-2021 tillsynsbegäran.docx", "A 55745-2021")</f>
        <v/>
      </c>
      <c r="Y906">
        <f>HYPERLINK("https://klasma.github.io/Logging_2417/tillsynsmail/A 55745-2021 tillsynsbegäran mail.docx", "A 55745-2021")</f>
        <v/>
      </c>
    </row>
    <row r="907" ht="15" customHeight="1">
      <c r="A907" t="inlineStr">
        <is>
          <t>A 58661-2021</t>
        </is>
      </c>
      <c r="B907" s="1" t="n">
        <v>44489</v>
      </c>
      <c r="C907" s="1" t="n">
        <v>45792</v>
      </c>
      <c r="D907" t="inlineStr">
        <is>
          <t>VÄSTERBOTTENS LÄN</t>
        </is>
      </c>
      <c r="E907" t="inlineStr">
        <is>
          <t>SKELLEFTEÅ</t>
        </is>
      </c>
      <c r="F907" t="inlineStr">
        <is>
          <t>Sveaskog</t>
        </is>
      </c>
      <c r="G907" t="n">
        <v>3.2</v>
      </c>
      <c r="H907" t="n">
        <v>0</v>
      </c>
      <c r="I907" t="n">
        <v>1</v>
      </c>
      <c r="J907" t="n">
        <v>1</v>
      </c>
      <c r="K907" t="n">
        <v>0</v>
      </c>
      <c r="L907" t="n">
        <v>0</v>
      </c>
      <c r="M907" t="n">
        <v>0</v>
      </c>
      <c r="N907" t="n">
        <v>0</v>
      </c>
      <c r="O907" t="n">
        <v>1</v>
      </c>
      <c r="P907" t="n">
        <v>0</v>
      </c>
      <c r="Q907" t="n">
        <v>2</v>
      </c>
      <c r="R907" s="2" t="inlineStr">
        <is>
          <t>Vedskivlav
Bronshjon</t>
        </is>
      </c>
      <c r="S907">
        <f>HYPERLINK("https://klasma.github.io/Logging_2482/artfynd/A 58661-2021 artfynd.xlsx", "A 58661-2021")</f>
        <v/>
      </c>
      <c r="T907">
        <f>HYPERLINK("https://klasma.github.io/Logging_2482/kartor/A 58661-2021 karta.png", "A 58661-2021")</f>
        <v/>
      </c>
      <c r="V907">
        <f>HYPERLINK("https://klasma.github.io/Logging_2482/klagomål/A 58661-2021 FSC-klagomål.docx", "A 58661-2021")</f>
        <v/>
      </c>
      <c r="W907">
        <f>HYPERLINK("https://klasma.github.io/Logging_2482/klagomålsmail/A 58661-2021 FSC-klagomål mail.docx", "A 58661-2021")</f>
        <v/>
      </c>
      <c r="X907">
        <f>HYPERLINK("https://klasma.github.io/Logging_2482/tillsyn/A 58661-2021 tillsynsbegäran.docx", "A 58661-2021")</f>
        <v/>
      </c>
      <c r="Y907">
        <f>HYPERLINK("https://klasma.github.io/Logging_2482/tillsynsmail/A 58661-2021 tillsynsbegäran mail.docx", "A 58661-2021")</f>
        <v/>
      </c>
    </row>
    <row r="908" ht="15" customHeight="1">
      <c r="A908" t="inlineStr">
        <is>
          <t>A 58885-2021</t>
        </is>
      </c>
      <c r="B908" s="1" t="n">
        <v>44489</v>
      </c>
      <c r="C908" s="1" t="n">
        <v>45792</v>
      </c>
      <c r="D908" t="inlineStr">
        <is>
          <t>VÄSTERBOTTENS LÄN</t>
        </is>
      </c>
      <c r="E908" t="inlineStr">
        <is>
          <t>SKELLEFTEÅ</t>
        </is>
      </c>
      <c r="F908" t="inlineStr">
        <is>
          <t>Sveaskog</t>
        </is>
      </c>
      <c r="G908" t="n">
        <v>13.7</v>
      </c>
      <c r="H908" t="n">
        <v>0</v>
      </c>
      <c r="I908" t="n">
        <v>1</v>
      </c>
      <c r="J908" t="n">
        <v>1</v>
      </c>
      <c r="K908" t="n">
        <v>0</v>
      </c>
      <c r="L908" t="n">
        <v>0</v>
      </c>
      <c r="M908" t="n">
        <v>0</v>
      </c>
      <c r="N908" t="n">
        <v>0</v>
      </c>
      <c r="O908" t="n">
        <v>1</v>
      </c>
      <c r="P908" t="n">
        <v>0</v>
      </c>
      <c r="Q908" t="n">
        <v>2</v>
      </c>
      <c r="R908" s="2" t="inlineStr">
        <is>
          <t>Lunglav
Stuplav</t>
        </is>
      </c>
      <c r="S908">
        <f>HYPERLINK("https://klasma.github.io/Logging_2482/artfynd/A 58885-2021 artfynd.xlsx", "A 58885-2021")</f>
        <v/>
      </c>
      <c r="T908">
        <f>HYPERLINK("https://klasma.github.io/Logging_2482/kartor/A 58885-2021 karta.png", "A 58885-2021")</f>
        <v/>
      </c>
      <c r="V908">
        <f>HYPERLINK("https://klasma.github.io/Logging_2482/klagomål/A 58885-2021 FSC-klagomål.docx", "A 58885-2021")</f>
        <v/>
      </c>
      <c r="W908">
        <f>HYPERLINK("https://klasma.github.io/Logging_2482/klagomålsmail/A 58885-2021 FSC-klagomål mail.docx", "A 58885-2021")</f>
        <v/>
      </c>
      <c r="X908">
        <f>HYPERLINK("https://klasma.github.io/Logging_2482/tillsyn/A 58885-2021 tillsynsbegäran.docx", "A 58885-2021")</f>
        <v/>
      </c>
      <c r="Y908">
        <f>HYPERLINK("https://klasma.github.io/Logging_2482/tillsynsmail/A 58885-2021 tillsynsbegäran mail.docx", "A 58885-2021")</f>
        <v/>
      </c>
    </row>
    <row r="909" ht="15" customHeight="1">
      <c r="A909" t="inlineStr">
        <is>
          <t>A 59706-2021</t>
        </is>
      </c>
      <c r="B909" s="1" t="n">
        <v>44494</v>
      </c>
      <c r="C909" s="1" t="n">
        <v>45792</v>
      </c>
      <c r="D909" t="inlineStr">
        <is>
          <t>VÄSTERBOTTENS LÄN</t>
        </is>
      </c>
      <c r="E909" t="inlineStr">
        <is>
          <t>SKELLEFTEÅ</t>
        </is>
      </c>
      <c r="F909" t="inlineStr">
        <is>
          <t>Sveaskog</t>
        </is>
      </c>
      <c r="G909" t="n">
        <v>2.5</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HYPERLINK("https://klasma.github.io/Logging_2482/artfynd/A 59706-2021 artfynd.xlsx", "A 59706-2021")</f>
        <v/>
      </c>
      <c r="T909">
        <f>HYPERLINK("https://klasma.github.io/Logging_2482/kartor/A 59706-2021 karta.png", "A 59706-2021")</f>
        <v/>
      </c>
      <c r="V909">
        <f>HYPERLINK("https://klasma.github.io/Logging_2482/klagomål/A 59706-2021 FSC-klagomål.docx", "A 59706-2021")</f>
        <v/>
      </c>
      <c r="W909">
        <f>HYPERLINK("https://klasma.github.io/Logging_2482/klagomålsmail/A 59706-2021 FSC-klagomål mail.docx", "A 59706-2021")</f>
        <v/>
      </c>
      <c r="X909">
        <f>HYPERLINK("https://klasma.github.io/Logging_2482/tillsyn/A 59706-2021 tillsynsbegäran.docx", "A 59706-2021")</f>
        <v/>
      </c>
      <c r="Y909">
        <f>HYPERLINK("https://klasma.github.io/Logging_2482/tillsynsmail/A 59706-2021 tillsynsbegäran mail.docx", "A 59706-2021")</f>
        <v/>
      </c>
    </row>
    <row r="910" ht="15" customHeight="1">
      <c r="A910" t="inlineStr">
        <is>
          <t>A 61497-2021</t>
        </is>
      </c>
      <c r="B910" s="1" t="n">
        <v>44501</v>
      </c>
      <c r="C910" s="1" t="n">
        <v>45792</v>
      </c>
      <c r="D910" t="inlineStr">
        <is>
          <t>VÄSTERBOTTENS LÄN</t>
        </is>
      </c>
      <c r="E910" t="inlineStr">
        <is>
          <t>LYCKSELE</t>
        </is>
      </c>
      <c r="F910" t="inlineStr">
        <is>
          <t>Sveaskog</t>
        </is>
      </c>
      <c r="G910" t="n">
        <v>8</v>
      </c>
      <c r="H910" t="n">
        <v>0</v>
      </c>
      <c r="I910" t="n">
        <v>0</v>
      </c>
      <c r="J910" t="n">
        <v>2</v>
      </c>
      <c r="K910" t="n">
        <v>0</v>
      </c>
      <c r="L910" t="n">
        <v>0</v>
      </c>
      <c r="M910" t="n">
        <v>0</v>
      </c>
      <c r="N910" t="n">
        <v>0</v>
      </c>
      <c r="O910" t="n">
        <v>2</v>
      </c>
      <c r="P910" t="n">
        <v>0</v>
      </c>
      <c r="Q910" t="n">
        <v>2</v>
      </c>
      <c r="R910" s="2" t="inlineStr">
        <is>
          <t>Dvärgbägarlav
Vaddporing</t>
        </is>
      </c>
      <c r="S910">
        <f>HYPERLINK("https://klasma.github.io/Logging_2481/artfynd/A 61497-2021 artfynd.xlsx", "A 61497-2021")</f>
        <v/>
      </c>
      <c r="T910">
        <f>HYPERLINK("https://klasma.github.io/Logging_2481/kartor/A 61497-2021 karta.png", "A 61497-2021")</f>
        <v/>
      </c>
      <c r="V910">
        <f>HYPERLINK("https://klasma.github.io/Logging_2481/klagomål/A 61497-2021 FSC-klagomål.docx", "A 61497-2021")</f>
        <v/>
      </c>
      <c r="W910">
        <f>HYPERLINK("https://klasma.github.io/Logging_2481/klagomålsmail/A 61497-2021 FSC-klagomål mail.docx", "A 61497-2021")</f>
        <v/>
      </c>
      <c r="X910">
        <f>HYPERLINK("https://klasma.github.io/Logging_2481/tillsyn/A 61497-2021 tillsynsbegäran.docx", "A 61497-2021")</f>
        <v/>
      </c>
      <c r="Y910">
        <f>HYPERLINK("https://klasma.github.io/Logging_2481/tillsynsmail/A 61497-2021 tillsynsbegäran mail.docx", "A 61497-2021")</f>
        <v/>
      </c>
    </row>
    <row r="911" ht="15" customHeight="1">
      <c r="A911" t="inlineStr">
        <is>
          <t>A 65586-2021</t>
        </is>
      </c>
      <c r="B911" s="1" t="n">
        <v>44518</v>
      </c>
      <c r="C911" s="1" t="n">
        <v>45792</v>
      </c>
      <c r="D911" t="inlineStr">
        <is>
          <t>VÄSTERBOTTENS LÄN</t>
        </is>
      </c>
      <c r="E911" t="inlineStr">
        <is>
          <t>VILHELMINA</t>
        </is>
      </c>
      <c r="G911" t="n">
        <v>38</v>
      </c>
      <c r="H911" t="n">
        <v>2</v>
      </c>
      <c r="I911" t="n">
        <v>0</v>
      </c>
      <c r="J911" t="n">
        <v>1</v>
      </c>
      <c r="K911" t="n">
        <v>1</v>
      </c>
      <c r="L911" t="n">
        <v>0</v>
      </c>
      <c r="M911" t="n">
        <v>0</v>
      </c>
      <c r="N911" t="n">
        <v>0</v>
      </c>
      <c r="O911" t="n">
        <v>2</v>
      </c>
      <c r="P911" t="n">
        <v>1</v>
      </c>
      <c r="Q911" t="n">
        <v>2</v>
      </c>
      <c r="R911" s="2" t="inlineStr">
        <is>
          <t>Lappuggla
Tretåig hackspett</t>
        </is>
      </c>
      <c r="S911">
        <f>HYPERLINK("https://klasma.github.io/Logging_2462/artfynd/A 65586-2021 artfynd.xlsx", "A 65586-2021")</f>
        <v/>
      </c>
      <c r="T911">
        <f>HYPERLINK("https://klasma.github.io/Logging_2462/kartor/A 65586-2021 karta.png", "A 65586-2021")</f>
        <v/>
      </c>
      <c r="V911">
        <f>HYPERLINK("https://klasma.github.io/Logging_2462/klagomål/A 65586-2021 FSC-klagomål.docx", "A 65586-2021")</f>
        <v/>
      </c>
      <c r="W911">
        <f>HYPERLINK("https://klasma.github.io/Logging_2462/klagomålsmail/A 65586-2021 FSC-klagomål mail.docx", "A 65586-2021")</f>
        <v/>
      </c>
      <c r="X911">
        <f>HYPERLINK("https://klasma.github.io/Logging_2462/tillsyn/A 65586-2021 tillsynsbegäran.docx", "A 65586-2021")</f>
        <v/>
      </c>
      <c r="Y911">
        <f>HYPERLINK("https://klasma.github.io/Logging_2462/tillsynsmail/A 65586-2021 tillsynsbegäran mail.docx", "A 65586-2021")</f>
        <v/>
      </c>
      <c r="Z911">
        <f>HYPERLINK("https://klasma.github.io/Logging_2462/fåglar/A 65586-2021 prioriterade fågelarter.docx", "A 65586-2021")</f>
        <v/>
      </c>
    </row>
    <row r="912" ht="15" customHeight="1">
      <c r="A912" t="inlineStr">
        <is>
          <t>A 69023-2021</t>
        </is>
      </c>
      <c r="B912" s="1" t="n">
        <v>44529</v>
      </c>
      <c r="C912" s="1" t="n">
        <v>45792</v>
      </c>
      <c r="D912" t="inlineStr">
        <is>
          <t>VÄSTERBOTTENS LÄN</t>
        </is>
      </c>
      <c r="E912" t="inlineStr">
        <is>
          <t>VILHELMINA</t>
        </is>
      </c>
      <c r="G912" t="n">
        <v>88</v>
      </c>
      <c r="H912" t="n">
        <v>0</v>
      </c>
      <c r="I912" t="n">
        <v>0</v>
      </c>
      <c r="J912" t="n">
        <v>2</v>
      </c>
      <c r="K912" t="n">
        <v>0</v>
      </c>
      <c r="L912" t="n">
        <v>0</v>
      </c>
      <c r="M912" t="n">
        <v>0</v>
      </c>
      <c r="N912" t="n">
        <v>0</v>
      </c>
      <c r="O912" t="n">
        <v>2</v>
      </c>
      <c r="P912" t="n">
        <v>0</v>
      </c>
      <c r="Q912" t="n">
        <v>2</v>
      </c>
      <c r="R912" s="2" t="inlineStr">
        <is>
          <t>Garnlav
Lunglav</t>
        </is>
      </c>
      <c r="S912">
        <f>HYPERLINK("https://klasma.github.io/Logging_2462/artfynd/A 69023-2021 artfynd.xlsx", "A 69023-2021")</f>
        <v/>
      </c>
      <c r="T912">
        <f>HYPERLINK("https://klasma.github.io/Logging_2462/kartor/A 69023-2021 karta.png", "A 69023-2021")</f>
        <v/>
      </c>
      <c r="V912">
        <f>HYPERLINK("https://klasma.github.io/Logging_2462/klagomål/A 69023-2021 FSC-klagomål.docx", "A 69023-2021")</f>
        <v/>
      </c>
      <c r="W912">
        <f>HYPERLINK("https://klasma.github.io/Logging_2462/klagomålsmail/A 69023-2021 FSC-klagomål mail.docx", "A 69023-2021")</f>
        <v/>
      </c>
      <c r="X912">
        <f>HYPERLINK("https://klasma.github.io/Logging_2462/tillsyn/A 69023-2021 tillsynsbegäran.docx", "A 69023-2021")</f>
        <v/>
      </c>
      <c r="Y912">
        <f>HYPERLINK("https://klasma.github.io/Logging_2462/tillsynsmail/A 69023-2021 tillsynsbegäran mail.docx", "A 69023-2021")</f>
        <v/>
      </c>
    </row>
    <row r="913" ht="15" customHeight="1">
      <c r="A913" t="inlineStr">
        <is>
          <t>A 70179-2021</t>
        </is>
      </c>
      <c r="B913" s="1" t="n">
        <v>44533</v>
      </c>
      <c r="C913" s="1" t="n">
        <v>45792</v>
      </c>
      <c r="D913" t="inlineStr">
        <is>
          <t>VÄSTERBOTTENS LÄN</t>
        </is>
      </c>
      <c r="E913" t="inlineStr">
        <is>
          <t>LYCKSELE</t>
        </is>
      </c>
      <c r="G913" t="n">
        <v>5.2</v>
      </c>
      <c r="H913" t="n">
        <v>0</v>
      </c>
      <c r="I913" t="n">
        <v>0</v>
      </c>
      <c r="J913" t="n">
        <v>2</v>
      </c>
      <c r="K913" t="n">
        <v>0</v>
      </c>
      <c r="L913" t="n">
        <v>0</v>
      </c>
      <c r="M913" t="n">
        <v>0</v>
      </c>
      <c r="N913" t="n">
        <v>0</v>
      </c>
      <c r="O913" t="n">
        <v>2</v>
      </c>
      <c r="P913" t="n">
        <v>0</v>
      </c>
      <c r="Q913" t="n">
        <v>2</v>
      </c>
      <c r="R913" s="2" t="inlineStr">
        <is>
          <t>Blanksvart spiklav
Vedflamlav</t>
        </is>
      </c>
      <c r="S913">
        <f>HYPERLINK("https://klasma.github.io/Logging_2481/artfynd/A 70179-2021 artfynd.xlsx", "A 70179-2021")</f>
        <v/>
      </c>
      <c r="T913">
        <f>HYPERLINK("https://klasma.github.io/Logging_2481/kartor/A 70179-2021 karta.png", "A 70179-2021")</f>
        <v/>
      </c>
      <c r="V913">
        <f>HYPERLINK("https://klasma.github.io/Logging_2481/klagomål/A 70179-2021 FSC-klagomål.docx", "A 70179-2021")</f>
        <v/>
      </c>
      <c r="W913">
        <f>HYPERLINK("https://klasma.github.io/Logging_2481/klagomålsmail/A 70179-2021 FSC-klagomål mail.docx", "A 70179-2021")</f>
        <v/>
      </c>
      <c r="X913">
        <f>HYPERLINK("https://klasma.github.io/Logging_2481/tillsyn/A 70179-2021 tillsynsbegäran.docx", "A 70179-2021")</f>
        <v/>
      </c>
      <c r="Y913">
        <f>HYPERLINK("https://klasma.github.io/Logging_2481/tillsynsmail/A 70179-2021 tillsynsbegäran mail.docx", "A 70179-2021")</f>
        <v/>
      </c>
    </row>
    <row r="914" ht="15" customHeight="1">
      <c r="A914" t="inlineStr">
        <is>
          <t>A 6526-2022</t>
        </is>
      </c>
      <c r="B914" s="1" t="n">
        <v>44601</v>
      </c>
      <c r="C914" s="1" t="n">
        <v>45792</v>
      </c>
      <c r="D914" t="inlineStr">
        <is>
          <t>VÄSTERBOTTENS LÄN</t>
        </is>
      </c>
      <c r="E914" t="inlineStr">
        <is>
          <t>LYCKSELE</t>
        </is>
      </c>
      <c r="F914" t="inlineStr">
        <is>
          <t>Sveaskog</t>
        </is>
      </c>
      <c r="G914" t="n">
        <v>6.7</v>
      </c>
      <c r="H914" t="n">
        <v>0</v>
      </c>
      <c r="I914" t="n">
        <v>1</v>
      </c>
      <c r="J914" t="n">
        <v>1</v>
      </c>
      <c r="K914" t="n">
        <v>0</v>
      </c>
      <c r="L914" t="n">
        <v>0</v>
      </c>
      <c r="M914" t="n">
        <v>0</v>
      </c>
      <c r="N914" t="n">
        <v>0</v>
      </c>
      <c r="O914" t="n">
        <v>1</v>
      </c>
      <c r="P914" t="n">
        <v>0</v>
      </c>
      <c r="Q914" t="n">
        <v>2</v>
      </c>
      <c r="R914" s="2" t="inlineStr">
        <is>
          <t>Skrovlig taggsvamp
Dropptaggsvamp</t>
        </is>
      </c>
      <c r="S914">
        <f>HYPERLINK("https://klasma.github.io/Logging_2481/artfynd/A 6526-2022 artfynd.xlsx", "A 6526-2022")</f>
        <v/>
      </c>
      <c r="T914">
        <f>HYPERLINK("https://klasma.github.io/Logging_2481/kartor/A 6526-2022 karta.png", "A 6526-2022")</f>
        <v/>
      </c>
      <c r="V914">
        <f>HYPERLINK("https://klasma.github.io/Logging_2481/klagomål/A 6526-2022 FSC-klagomål.docx", "A 6526-2022")</f>
        <v/>
      </c>
      <c r="W914">
        <f>HYPERLINK("https://klasma.github.io/Logging_2481/klagomålsmail/A 6526-2022 FSC-klagomål mail.docx", "A 6526-2022")</f>
        <v/>
      </c>
      <c r="X914">
        <f>HYPERLINK("https://klasma.github.io/Logging_2481/tillsyn/A 6526-2022 tillsynsbegäran.docx", "A 6526-2022")</f>
        <v/>
      </c>
      <c r="Y914">
        <f>HYPERLINK("https://klasma.github.io/Logging_2481/tillsynsmail/A 6526-2022 tillsynsbegäran mail.docx", "A 6526-2022")</f>
        <v/>
      </c>
    </row>
    <row r="915" ht="15" customHeight="1">
      <c r="A915" t="inlineStr">
        <is>
          <t>A 9771-2022</t>
        </is>
      </c>
      <c r="B915" s="1" t="n">
        <v>44619</v>
      </c>
      <c r="C915" s="1" t="n">
        <v>45792</v>
      </c>
      <c r="D915" t="inlineStr">
        <is>
          <t>VÄSTERBOTTENS LÄN</t>
        </is>
      </c>
      <c r="E915" t="inlineStr">
        <is>
          <t>UMEÅ</t>
        </is>
      </c>
      <c r="G915" t="n">
        <v>39.1</v>
      </c>
      <c r="H915" t="n">
        <v>0</v>
      </c>
      <c r="I915" t="n">
        <v>1</v>
      </c>
      <c r="J915" t="n">
        <v>1</v>
      </c>
      <c r="K915" t="n">
        <v>0</v>
      </c>
      <c r="L915" t="n">
        <v>0</v>
      </c>
      <c r="M915" t="n">
        <v>0</v>
      </c>
      <c r="N915" t="n">
        <v>0</v>
      </c>
      <c r="O915" t="n">
        <v>1</v>
      </c>
      <c r="P915" t="n">
        <v>0</v>
      </c>
      <c r="Q915" t="n">
        <v>2</v>
      </c>
      <c r="R915" s="2" t="inlineStr">
        <is>
          <t>Blå taggsvamp
Dropptaggsvamp</t>
        </is>
      </c>
      <c r="S915">
        <f>HYPERLINK("https://klasma.github.io/Logging_2480/artfynd/A 9771-2022 artfynd.xlsx", "A 9771-2022")</f>
        <v/>
      </c>
      <c r="T915">
        <f>HYPERLINK("https://klasma.github.io/Logging_2480/kartor/A 9771-2022 karta.png", "A 9771-2022")</f>
        <v/>
      </c>
      <c r="V915">
        <f>HYPERLINK("https://klasma.github.io/Logging_2480/klagomål/A 9771-2022 FSC-klagomål.docx", "A 9771-2022")</f>
        <v/>
      </c>
      <c r="W915">
        <f>HYPERLINK("https://klasma.github.io/Logging_2480/klagomålsmail/A 9771-2022 FSC-klagomål mail.docx", "A 9771-2022")</f>
        <v/>
      </c>
      <c r="X915">
        <f>HYPERLINK("https://klasma.github.io/Logging_2480/tillsyn/A 9771-2022 tillsynsbegäran.docx", "A 9771-2022")</f>
        <v/>
      </c>
      <c r="Y915">
        <f>HYPERLINK("https://klasma.github.io/Logging_2480/tillsynsmail/A 9771-2022 tillsynsbegäran mail.docx", "A 9771-2022")</f>
        <v/>
      </c>
    </row>
    <row r="916" ht="15" customHeight="1">
      <c r="A916" t="inlineStr">
        <is>
          <t>A 14070-2022</t>
        </is>
      </c>
      <c r="B916" s="1" t="n">
        <v>44650</v>
      </c>
      <c r="C916" s="1" t="n">
        <v>45792</v>
      </c>
      <c r="D916" t="inlineStr">
        <is>
          <t>VÄSTERBOTTENS LÄN</t>
        </is>
      </c>
      <c r="E916" t="inlineStr">
        <is>
          <t>STORUMAN</t>
        </is>
      </c>
      <c r="F916" t="inlineStr">
        <is>
          <t>Övriga statliga verk och myndigheter</t>
        </is>
      </c>
      <c r="G916" t="n">
        <v>14.1</v>
      </c>
      <c r="H916" t="n">
        <v>1</v>
      </c>
      <c r="I916" t="n">
        <v>0</v>
      </c>
      <c r="J916" t="n">
        <v>2</v>
      </c>
      <c r="K916" t="n">
        <v>0</v>
      </c>
      <c r="L916" t="n">
        <v>0</v>
      </c>
      <c r="M916" t="n">
        <v>0</v>
      </c>
      <c r="N916" t="n">
        <v>0</v>
      </c>
      <c r="O916" t="n">
        <v>2</v>
      </c>
      <c r="P916" t="n">
        <v>0</v>
      </c>
      <c r="Q916" t="n">
        <v>2</v>
      </c>
      <c r="R916" s="2" t="inlineStr">
        <is>
          <t>Granticka
Järpe</t>
        </is>
      </c>
      <c r="S916">
        <f>HYPERLINK("https://klasma.github.io/Logging_2421/artfynd/A 14070-2022 artfynd.xlsx", "A 14070-2022")</f>
        <v/>
      </c>
      <c r="T916">
        <f>HYPERLINK("https://klasma.github.io/Logging_2421/kartor/A 14070-2022 karta.png", "A 14070-2022")</f>
        <v/>
      </c>
      <c r="V916">
        <f>HYPERLINK("https://klasma.github.io/Logging_2421/klagomål/A 14070-2022 FSC-klagomål.docx", "A 14070-2022")</f>
        <v/>
      </c>
      <c r="W916">
        <f>HYPERLINK("https://klasma.github.io/Logging_2421/klagomålsmail/A 14070-2022 FSC-klagomål mail.docx", "A 14070-2022")</f>
        <v/>
      </c>
      <c r="X916">
        <f>HYPERLINK("https://klasma.github.io/Logging_2421/tillsyn/A 14070-2022 tillsynsbegäran.docx", "A 14070-2022")</f>
        <v/>
      </c>
      <c r="Y916">
        <f>HYPERLINK("https://klasma.github.io/Logging_2421/tillsynsmail/A 14070-2022 tillsynsbegäran mail.docx", "A 14070-2022")</f>
        <v/>
      </c>
      <c r="Z916">
        <f>HYPERLINK("https://klasma.github.io/Logging_2421/fåglar/A 14070-2022 prioriterade fågelarter.docx", "A 14070-2022")</f>
        <v/>
      </c>
    </row>
    <row r="917" ht="15" customHeight="1">
      <c r="A917" t="inlineStr">
        <is>
          <t>A 21668-2022</t>
        </is>
      </c>
      <c r="B917" s="1" t="n">
        <v>44706</v>
      </c>
      <c r="C917" s="1" t="n">
        <v>45792</v>
      </c>
      <c r="D917" t="inlineStr">
        <is>
          <t>VÄSTERBOTTENS LÄN</t>
        </is>
      </c>
      <c r="E917" t="inlineStr">
        <is>
          <t>LYCKSELE</t>
        </is>
      </c>
      <c r="F917" t="inlineStr">
        <is>
          <t>SCA</t>
        </is>
      </c>
      <c r="G917" t="n">
        <v>1</v>
      </c>
      <c r="H917" t="n">
        <v>0</v>
      </c>
      <c r="I917" t="n">
        <v>0</v>
      </c>
      <c r="J917" t="n">
        <v>2</v>
      </c>
      <c r="K917" t="n">
        <v>0</v>
      </c>
      <c r="L917" t="n">
        <v>0</v>
      </c>
      <c r="M917" t="n">
        <v>0</v>
      </c>
      <c r="N917" t="n">
        <v>0</v>
      </c>
      <c r="O917" t="n">
        <v>2</v>
      </c>
      <c r="P917" t="n">
        <v>0</v>
      </c>
      <c r="Q917" t="n">
        <v>2</v>
      </c>
      <c r="R917" s="2" t="inlineStr">
        <is>
          <t>Gammelgransskål
Granticka</t>
        </is>
      </c>
      <c r="S917">
        <f>HYPERLINK("https://klasma.github.io/Logging_2481/artfynd/A 21668-2022 artfynd.xlsx", "A 21668-2022")</f>
        <v/>
      </c>
      <c r="T917">
        <f>HYPERLINK("https://klasma.github.io/Logging_2481/kartor/A 21668-2022 karta.png", "A 21668-2022")</f>
        <v/>
      </c>
      <c r="V917">
        <f>HYPERLINK("https://klasma.github.io/Logging_2481/klagomål/A 21668-2022 FSC-klagomål.docx", "A 21668-2022")</f>
        <v/>
      </c>
      <c r="W917">
        <f>HYPERLINK("https://klasma.github.io/Logging_2481/klagomålsmail/A 21668-2022 FSC-klagomål mail.docx", "A 21668-2022")</f>
        <v/>
      </c>
      <c r="X917">
        <f>HYPERLINK("https://klasma.github.io/Logging_2481/tillsyn/A 21668-2022 tillsynsbegäran.docx", "A 21668-2022")</f>
        <v/>
      </c>
      <c r="Y917">
        <f>HYPERLINK("https://klasma.github.io/Logging_2481/tillsynsmail/A 21668-2022 tillsynsbegäran mail.docx", "A 21668-2022")</f>
        <v/>
      </c>
    </row>
    <row r="918" ht="15" customHeight="1">
      <c r="A918" t="inlineStr">
        <is>
          <t>A 25524-2022</t>
        </is>
      </c>
      <c r="B918" s="1" t="n">
        <v>44732</v>
      </c>
      <c r="C918" s="1" t="n">
        <v>45792</v>
      </c>
      <c r="D918" t="inlineStr">
        <is>
          <t>VÄSTERBOTTENS LÄN</t>
        </is>
      </c>
      <c r="E918" t="inlineStr">
        <is>
          <t>STORUMAN</t>
        </is>
      </c>
      <c r="F918" t="inlineStr">
        <is>
          <t>Sveaskog</t>
        </is>
      </c>
      <c r="G918" t="n">
        <v>3.8</v>
      </c>
      <c r="H918" t="n">
        <v>0</v>
      </c>
      <c r="I918" t="n">
        <v>0</v>
      </c>
      <c r="J918" t="n">
        <v>1</v>
      </c>
      <c r="K918" t="n">
        <v>1</v>
      </c>
      <c r="L918" t="n">
        <v>0</v>
      </c>
      <c r="M918" t="n">
        <v>0</v>
      </c>
      <c r="N918" t="n">
        <v>0</v>
      </c>
      <c r="O918" t="n">
        <v>2</v>
      </c>
      <c r="P918" t="n">
        <v>1</v>
      </c>
      <c r="Q918" t="n">
        <v>2</v>
      </c>
      <c r="R918" s="2" t="inlineStr">
        <is>
          <t>Grantickeporing
Granticka</t>
        </is>
      </c>
      <c r="S918">
        <f>HYPERLINK("https://klasma.github.io/Logging_2421/artfynd/A 25524-2022 artfynd.xlsx", "A 25524-2022")</f>
        <v/>
      </c>
      <c r="T918">
        <f>HYPERLINK("https://klasma.github.io/Logging_2421/kartor/A 25524-2022 karta.png", "A 25524-2022")</f>
        <v/>
      </c>
      <c r="V918">
        <f>HYPERLINK("https://klasma.github.io/Logging_2421/klagomål/A 25524-2022 FSC-klagomål.docx", "A 25524-2022")</f>
        <v/>
      </c>
      <c r="W918">
        <f>HYPERLINK("https://klasma.github.io/Logging_2421/klagomålsmail/A 25524-2022 FSC-klagomål mail.docx", "A 25524-2022")</f>
        <v/>
      </c>
      <c r="X918">
        <f>HYPERLINK("https://klasma.github.io/Logging_2421/tillsyn/A 25524-2022 tillsynsbegäran.docx", "A 25524-2022")</f>
        <v/>
      </c>
      <c r="Y918">
        <f>HYPERLINK("https://klasma.github.io/Logging_2421/tillsynsmail/A 25524-2022 tillsynsbegäran mail.docx", "A 25524-2022")</f>
        <v/>
      </c>
    </row>
    <row r="919" ht="15" customHeight="1">
      <c r="A919" t="inlineStr">
        <is>
          <t>A 32253-2022</t>
        </is>
      </c>
      <c r="B919" s="1" t="n">
        <v>44781</v>
      </c>
      <c r="C919" s="1" t="n">
        <v>45792</v>
      </c>
      <c r="D919" t="inlineStr">
        <is>
          <t>VÄSTERBOTTENS LÄN</t>
        </is>
      </c>
      <c r="E919" t="inlineStr">
        <is>
          <t>VILHELMINA</t>
        </is>
      </c>
      <c r="G919" t="n">
        <v>10.8</v>
      </c>
      <c r="H919" t="n">
        <v>0</v>
      </c>
      <c r="I919" t="n">
        <v>0</v>
      </c>
      <c r="J919" t="n">
        <v>1</v>
      </c>
      <c r="K919" t="n">
        <v>1</v>
      </c>
      <c r="L919" t="n">
        <v>0</v>
      </c>
      <c r="M919" t="n">
        <v>0</v>
      </c>
      <c r="N919" t="n">
        <v>0</v>
      </c>
      <c r="O919" t="n">
        <v>2</v>
      </c>
      <c r="P919" t="n">
        <v>1</v>
      </c>
      <c r="Q919" t="n">
        <v>2</v>
      </c>
      <c r="R919" s="2" t="inlineStr">
        <is>
          <t>Ostticka
Garnlav</t>
        </is>
      </c>
      <c r="S919">
        <f>HYPERLINK("https://klasma.github.io/Logging_2462/artfynd/A 32253-2022 artfynd.xlsx", "A 32253-2022")</f>
        <v/>
      </c>
      <c r="T919">
        <f>HYPERLINK("https://klasma.github.io/Logging_2462/kartor/A 32253-2022 karta.png", "A 32253-2022")</f>
        <v/>
      </c>
      <c r="V919">
        <f>HYPERLINK("https://klasma.github.io/Logging_2462/klagomål/A 32253-2022 FSC-klagomål.docx", "A 32253-2022")</f>
        <v/>
      </c>
      <c r="W919">
        <f>HYPERLINK("https://klasma.github.io/Logging_2462/klagomålsmail/A 32253-2022 FSC-klagomål mail.docx", "A 32253-2022")</f>
        <v/>
      </c>
      <c r="X919">
        <f>HYPERLINK("https://klasma.github.io/Logging_2462/tillsyn/A 32253-2022 tillsynsbegäran.docx", "A 32253-2022")</f>
        <v/>
      </c>
      <c r="Y919">
        <f>HYPERLINK("https://klasma.github.io/Logging_2462/tillsynsmail/A 32253-2022 tillsynsbegäran mail.docx", "A 32253-2022")</f>
        <v/>
      </c>
    </row>
    <row r="920" ht="15" customHeight="1">
      <c r="A920" t="inlineStr">
        <is>
          <t>A 39237-2022</t>
        </is>
      </c>
      <c r="B920" s="1" t="n">
        <v>44817</v>
      </c>
      <c r="C920" s="1" t="n">
        <v>45792</v>
      </c>
      <c r="D920" t="inlineStr">
        <is>
          <t>VÄSTERBOTTENS LÄN</t>
        </is>
      </c>
      <c r="E920" t="inlineStr">
        <is>
          <t>STORUMAN</t>
        </is>
      </c>
      <c r="F920" t="inlineStr">
        <is>
          <t>Sveaskog</t>
        </is>
      </c>
      <c r="G920" t="n">
        <v>1.1</v>
      </c>
      <c r="H920" t="n">
        <v>1</v>
      </c>
      <c r="I920" t="n">
        <v>1</v>
      </c>
      <c r="J920" t="n">
        <v>0</v>
      </c>
      <c r="K920" t="n">
        <v>0</v>
      </c>
      <c r="L920" t="n">
        <v>0</v>
      </c>
      <c r="M920" t="n">
        <v>0</v>
      </c>
      <c r="N920" t="n">
        <v>0</v>
      </c>
      <c r="O920" t="n">
        <v>0</v>
      </c>
      <c r="P920" t="n">
        <v>0</v>
      </c>
      <c r="Q920" t="n">
        <v>2</v>
      </c>
      <c r="R920" s="2" t="inlineStr">
        <is>
          <t>Skarp dropptaggsvamp
Lavskrika</t>
        </is>
      </c>
      <c r="S920">
        <f>HYPERLINK("https://klasma.github.io/Logging_2421/artfynd/A 39237-2022 artfynd.xlsx", "A 39237-2022")</f>
        <v/>
      </c>
      <c r="T920">
        <f>HYPERLINK("https://klasma.github.io/Logging_2421/kartor/A 39237-2022 karta.png", "A 39237-2022")</f>
        <v/>
      </c>
      <c r="V920">
        <f>HYPERLINK("https://klasma.github.io/Logging_2421/klagomål/A 39237-2022 FSC-klagomål.docx", "A 39237-2022")</f>
        <v/>
      </c>
      <c r="W920">
        <f>HYPERLINK("https://klasma.github.io/Logging_2421/klagomålsmail/A 39237-2022 FSC-klagomål mail.docx", "A 39237-2022")</f>
        <v/>
      </c>
      <c r="X920">
        <f>HYPERLINK("https://klasma.github.io/Logging_2421/tillsyn/A 39237-2022 tillsynsbegäran.docx", "A 39237-2022")</f>
        <v/>
      </c>
      <c r="Y920">
        <f>HYPERLINK("https://klasma.github.io/Logging_2421/tillsynsmail/A 39237-2022 tillsynsbegäran mail.docx", "A 39237-2022")</f>
        <v/>
      </c>
      <c r="Z920">
        <f>HYPERLINK("https://klasma.github.io/Logging_2421/fåglar/A 39237-2022 prioriterade fågelarter.docx", "A 39237-2022")</f>
        <v/>
      </c>
    </row>
    <row r="921" ht="15" customHeight="1">
      <c r="A921" t="inlineStr">
        <is>
          <t>A 42694-2022</t>
        </is>
      </c>
      <c r="B921" s="1" t="n">
        <v>44831</v>
      </c>
      <c r="C921" s="1" t="n">
        <v>45792</v>
      </c>
      <c r="D921" t="inlineStr">
        <is>
          <t>VÄSTERBOTTENS LÄN</t>
        </is>
      </c>
      <c r="E921" t="inlineStr">
        <is>
          <t>SKELLEFTEÅ</t>
        </is>
      </c>
      <c r="G921" t="n">
        <v>5.6</v>
      </c>
      <c r="H921" t="n">
        <v>0</v>
      </c>
      <c r="I921" t="n">
        <v>1</v>
      </c>
      <c r="J921" t="n">
        <v>1</v>
      </c>
      <c r="K921" t="n">
        <v>0</v>
      </c>
      <c r="L921" t="n">
        <v>0</v>
      </c>
      <c r="M921" t="n">
        <v>0</v>
      </c>
      <c r="N921" t="n">
        <v>0</v>
      </c>
      <c r="O921" t="n">
        <v>1</v>
      </c>
      <c r="P921" t="n">
        <v>0</v>
      </c>
      <c r="Q921" t="n">
        <v>2</v>
      </c>
      <c r="R921" s="2" t="inlineStr">
        <is>
          <t>Granticka
Vedticka</t>
        </is>
      </c>
      <c r="S921">
        <f>HYPERLINK("https://klasma.github.io/Logging_2482/artfynd/A 42694-2022 artfynd.xlsx", "A 42694-2022")</f>
        <v/>
      </c>
      <c r="T921">
        <f>HYPERLINK("https://klasma.github.io/Logging_2482/kartor/A 42694-2022 karta.png", "A 42694-2022")</f>
        <v/>
      </c>
      <c r="V921">
        <f>HYPERLINK("https://klasma.github.io/Logging_2482/klagomål/A 42694-2022 FSC-klagomål.docx", "A 42694-2022")</f>
        <v/>
      </c>
      <c r="W921">
        <f>HYPERLINK("https://klasma.github.io/Logging_2482/klagomålsmail/A 42694-2022 FSC-klagomål mail.docx", "A 42694-2022")</f>
        <v/>
      </c>
      <c r="X921">
        <f>HYPERLINK("https://klasma.github.io/Logging_2482/tillsyn/A 42694-2022 tillsynsbegäran.docx", "A 42694-2022")</f>
        <v/>
      </c>
      <c r="Y921">
        <f>HYPERLINK("https://klasma.github.io/Logging_2482/tillsynsmail/A 42694-2022 tillsynsbegäran mail.docx", "A 42694-2022")</f>
        <v/>
      </c>
    </row>
    <row r="922" ht="15" customHeight="1">
      <c r="A922" t="inlineStr">
        <is>
          <t>A 42950-2022</t>
        </is>
      </c>
      <c r="B922" s="1" t="n">
        <v>44832</v>
      </c>
      <c r="C922" s="1" t="n">
        <v>45792</v>
      </c>
      <c r="D922" t="inlineStr">
        <is>
          <t>VÄSTERBOTTENS LÄN</t>
        </is>
      </c>
      <c r="E922" t="inlineStr">
        <is>
          <t>NORSJÖ</t>
        </is>
      </c>
      <c r="G922" t="n">
        <v>5.2</v>
      </c>
      <c r="H922" t="n">
        <v>1</v>
      </c>
      <c r="I922" t="n">
        <v>0</v>
      </c>
      <c r="J922" t="n">
        <v>1</v>
      </c>
      <c r="K922" t="n">
        <v>0</v>
      </c>
      <c r="L922" t="n">
        <v>0</v>
      </c>
      <c r="M922" t="n">
        <v>0</v>
      </c>
      <c r="N922" t="n">
        <v>0</v>
      </c>
      <c r="O922" t="n">
        <v>1</v>
      </c>
      <c r="P922" t="n">
        <v>0</v>
      </c>
      <c r="Q922" t="n">
        <v>2</v>
      </c>
      <c r="R922" s="2" t="inlineStr">
        <is>
          <t>Lunglav
Trana</t>
        </is>
      </c>
      <c r="S922">
        <f>HYPERLINK("https://klasma.github.io/Logging_2417/artfynd/A 42950-2022 artfynd.xlsx", "A 42950-2022")</f>
        <v/>
      </c>
      <c r="T922">
        <f>HYPERLINK("https://klasma.github.io/Logging_2417/kartor/A 42950-2022 karta.png", "A 42950-2022")</f>
        <v/>
      </c>
      <c r="V922">
        <f>HYPERLINK("https://klasma.github.io/Logging_2417/klagomål/A 42950-2022 FSC-klagomål.docx", "A 42950-2022")</f>
        <v/>
      </c>
      <c r="W922">
        <f>HYPERLINK("https://klasma.github.io/Logging_2417/klagomålsmail/A 42950-2022 FSC-klagomål mail.docx", "A 42950-2022")</f>
        <v/>
      </c>
      <c r="X922">
        <f>HYPERLINK("https://klasma.github.io/Logging_2417/tillsyn/A 42950-2022 tillsynsbegäran.docx", "A 42950-2022")</f>
        <v/>
      </c>
      <c r="Y922">
        <f>HYPERLINK("https://klasma.github.io/Logging_2417/tillsynsmail/A 42950-2022 tillsynsbegäran mail.docx", "A 42950-2022")</f>
        <v/>
      </c>
      <c r="Z922">
        <f>HYPERLINK("https://klasma.github.io/Logging_2417/fåglar/A 42950-2022 prioriterade fågelarter.docx", "A 42950-2022")</f>
        <v/>
      </c>
    </row>
    <row r="923" ht="15" customHeight="1">
      <c r="A923" t="inlineStr">
        <is>
          <t>A 44222-2022</t>
        </is>
      </c>
      <c r="B923" s="1" t="n">
        <v>44839</v>
      </c>
      <c r="C923" s="1" t="n">
        <v>45792</v>
      </c>
      <c r="D923" t="inlineStr">
        <is>
          <t>VÄSTERBOTTENS LÄN</t>
        </is>
      </c>
      <c r="E923" t="inlineStr">
        <is>
          <t>ROBERTSFORS</t>
        </is>
      </c>
      <c r="F923" t="inlineStr">
        <is>
          <t>Holmen skog AB</t>
        </is>
      </c>
      <c r="G923" t="n">
        <v>23.5</v>
      </c>
      <c r="H923" t="n">
        <v>1</v>
      </c>
      <c r="I923" t="n">
        <v>0</v>
      </c>
      <c r="J923" t="n">
        <v>2</v>
      </c>
      <c r="K923" t="n">
        <v>0</v>
      </c>
      <c r="L923" t="n">
        <v>0</v>
      </c>
      <c r="M923" t="n">
        <v>0</v>
      </c>
      <c r="N923" t="n">
        <v>0</v>
      </c>
      <c r="O923" t="n">
        <v>2</v>
      </c>
      <c r="P923" t="n">
        <v>0</v>
      </c>
      <c r="Q923" t="n">
        <v>2</v>
      </c>
      <c r="R923" s="2" t="inlineStr">
        <is>
          <t>Järpe
Kortskaftad ärgspik</t>
        </is>
      </c>
      <c r="S923">
        <f>HYPERLINK("https://klasma.github.io/Logging_2409/artfynd/A 44222-2022 artfynd.xlsx", "A 44222-2022")</f>
        <v/>
      </c>
      <c r="T923">
        <f>HYPERLINK("https://klasma.github.io/Logging_2409/kartor/A 44222-2022 karta.png", "A 44222-2022")</f>
        <v/>
      </c>
      <c r="V923">
        <f>HYPERLINK("https://klasma.github.io/Logging_2409/klagomål/A 44222-2022 FSC-klagomål.docx", "A 44222-2022")</f>
        <v/>
      </c>
      <c r="W923">
        <f>HYPERLINK("https://klasma.github.io/Logging_2409/klagomålsmail/A 44222-2022 FSC-klagomål mail.docx", "A 44222-2022")</f>
        <v/>
      </c>
      <c r="X923">
        <f>HYPERLINK("https://klasma.github.io/Logging_2409/tillsyn/A 44222-2022 tillsynsbegäran.docx", "A 44222-2022")</f>
        <v/>
      </c>
      <c r="Y923">
        <f>HYPERLINK("https://klasma.github.io/Logging_2409/tillsynsmail/A 44222-2022 tillsynsbegäran mail.docx", "A 44222-2022")</f>
        <v/>
      </c>
      <c r="Z923">
        <f>HYPERLINK("https://klasma.github.io/Logging_2409/fåglar/A 44222-2022 prioriterade fågelarter.docx", "A 44222-2022")</f>
        <v/>
      </c>
    </row>
    <row r="924" ht="15" customHeight="1">
      <c r="A924" t="inlineStr">
        <is>
          <t>A 44687-2022</t>
        </is>
      </c>
      <c r="B924" s="1" t="n">
        <v>44839</v>
      </c>
      <c r="C924" s="1" t="n">
        <v>45792</v>
      </c>
      <c r="D924" t="inlineStr">
        <is>
          <t>VÄSTERBOTTENS LÄN</t>
        </is>
      </c>
      <c r="E924" t="inlineStr">
        <is>
          <t>UMEÅ</t>
        </is>
      </c>
      <c r="G924" t="n">
        <v>2.3</v>
      </c>
      <c r="H924" t="n">
        <v>0</v>
      </c>
      <c r="I924" t="n">
        <v>0</v>
      </c>
      <c r="J924" t="n">
        <v>2</v>
      </c>
      <c r="K924" t="n">
        <v>0</v>
      </c>
      <c r="L924" t="n">
        <v>0</v>
      </c>
      <c r="M924" t="n">
        <v>0</v>
      </c>
      <c r="N924" t="n">
        <v>0</v>
      </c>
      <c r="O924" t="n">
        <v>2</v>
      </c>
      <c r="P924" t="n">
        <v>0</v>
      </c>
      <c r="Q924" t="n">
        <v>2</v>
      </c>
      <c r="R924" s="2" t="inlineStr">
        <is>
          <t>Granticka
Ullticka</t>
        </is>
      </c>
      <c r="S924">
        <f>HYPERLINK("https://klasma.github.io/Logging_2480/artfynd/A 44687-2022 artfynd.xlsx", "A 44687-2022")</f>
        <v/>
      </c>
      <c r="T924">
        <f>HYPERLINK("https://klasma.github.io/Logging_2480/kartor/A 44687-2022 karta.png", "A 44687-2022")</f>
        <v/>
      </c>
      <c r="V924">
        <f>HYPERLINK("https://klasma.github.io/Logging_2480/klagomål/A 44687-2022 FSC-klagomål.docx", "A 44687-2022")</f>
        <v/>
      </c>
      <c r="W924">
        <f>HYPERLINK("https://klasma.github.io/Logging_2480/klagomålsmail/A 44687-2022 FSC-klagomål mail.docx", "A 44687-2022")</f>
        <v/>
      </c>
      <c r="X924">
        <f>HYPERLINK("https://klasma.github.io/Logging_2480/tillsyn/A 44687-2022 tillsynsbegäran.docx", "A 44687-2022")</f>
        <v/>
      </c>
      <c r="Y924">
        <f>HYPERLINK("https://klasma.github.io/Logging_2480/tillsynsmail/A 44687-2022 tillsynsbegäran mail.docx", "A 44687-2022")</f>
        <v/>
      </c>
    </row>
    <row r="925" ht="15" customHeight="1">
      <c r="A925" t="inlineStr">
        <is>
          <t>A 45569-2022</t>
        </is>
      </c>
      <c r="B925" s="1" t="n">
        <v>44841</v>
      </c>
      <c r="C925" s="1" t="n">
        <v>45792</v>
      </c>
      <c r="D925" t="inlineStr">
        <is>
          <t>VÄSTERBOTTENS LÄN</t>
        </is>
      </c>
      <c r="E925" t="inlineStr">
        <is>
          <t>SORSELE</t>
        </is>
      </c>
      <c r="G925" t="n">
        <v>55.7</v>
      </c>
      <c r="H925" t="n">
        <v>0</v>
      </c>
      <c r="I925" t="n">
        <v>0</v>
      </c>
      <c r="J925" t="n">
        <v>2</v>
      </c>
      <c r="K925" t="n">
        <v>0</v>
      </c>
      <c r="L925" t="n">
        <v>0</v>
      </c>
      <c r="M925" t="n">
        <v>0</v>
      </c>
      <c r="N925" t="n">
        <v>0</v>
      </c>
      <c r="O925" t="n">
        <v>2</v>
      </c>
      <c r="P925" t="n">
        <v>0</v>
      </c>
      <c r="Q925" t="n">
        <v>2</v>
      </c>
      <c r="R925" s="2" t="inlineStr">
        <is>
          <t>Gränsticka
Harticka</t>
        </is>
      </c>
      <c r="S925">
        <f>HYPERLINK("https://klasma.github.io/Logging_2422/artfynd/A 45569-2022 artfynd.xlsx", "A 45569-2022")</f>
        <v/>
      </c>
      <c r="T925">
        <f>HYPERLINK("https://klasma.github.io/Logging_2422/kartor/A 45569-2022 karta.png", "A 45569-2022")</f>
        <v/>
      </c>
      <c r="V925">
        <f>HYPERLINK("https://klasma.github.io/Logging_2422/klagomål/A 45569-2022 FSC-klagomål.docx", "A 45569-2022")</f>
        <v/>
      </c>
      <c r="W925">
        <f>HYPERLINK("https://klasma.github.io/Logging_2422/klagomålsmail/A 45569-2022 FSC-klagomål mail.docx", "A 45569-2022")</f>
        <v/>
      </c>
      <c r="X925">
        <f>HYPERLINK("https://klasma.github.io/Logging_2422/tillsyn/A 45569-2022 tillsynsbegäran.docx", "A 45569-2022")</f>
        <v/>
      </c>
      <c r="Y925">
        <f>HYPERLINK("https://klasma.github.io/Logging_2422/tillsynsmail/A 45569-2022 tillsynsbegäran mail.docx", "A 45569-2022")</f>
        <v/>
      </c>
    </row>
    <row r="926" ht="15" customHeight="1">
      <c r="A926" t="inlineStr">
        <is>
          <t>A 45356-2022</t>
        </is>
      </c>
      <c r="B926" s="1" t="n">
        <v>44844</v>
      </c>
      <c r="C926" s="1" t="n">
        <v>45792</v>
      </c>
      <c r="D926" t="inlineStr">
        <is>
          <t>VÄSTERBOTTENS LÄN</t>
        </is>
      </c>
      <c r="E926" t="inlineStr">
        <is>
          <t>NORDMALING</t>
        </is>
      </c>
      <c r="G926" t="n">
        <v>2.1</v>
      </c>
      <c r="H926" t="n">
        <v>0</v>
      </c>
      <c r="I926" t="n">
        <v>1</v>
      </c>
      <c r="J926" t="n">
        <v>1</v>
      </c>
      <c r="K926" t="n">
        <v>0</v>
      </c>
      <c r="L926" t="n">
        <v>0</v>
      </c>
      <c r="M926" t="n">
        <v>0</v>
      </c>
      <c r="N926" t="n">
        <v>0</v>
      </c>
      <c r="O926" t="n">
        <v>1</v>
      </c>
      <c r="P926" t="n">
        <v>0</v>
      </c>
      <c r="Q926" t="n">
        <v>2</v>
      </c>
      <c r="R926" s="2" t="inlineStr">
        <is>
          <t>Garnlav
Skinnlav</t>
        </is>
      </c>
      <c r="S926">
        <f>HYPERLINK("https://klasma.github.io/Logging_2401/artfynd/A 45356-2022 artfynd.xlsx", "A 45356-2022")</f>
        <v/>
      </c>
      <c r="T926">
        <f>HYPERLINK("https://klasma.github.io/Logging_2401/kartor/A 45356-2022 karta.png", "A 45356-2022")</f>
        <v/>
      </c>
      <c r="V926">
        <f>HYPERLINK("https://klasma.github.io/Logging_2401/klagomål/A 45356-2022 FSC-klagomål.docx", "A 45356-2022")</f>
        <v/>
      </c>
      <c r="W926">
        <f>HYPERLINK("https://klasma.github.io/Logging_2401/klagomålsmail/A 45356-2022 FSC-klagomål mail.docx", "A 45356-2022")</f>
        <v/>
      </c>
      <c r="X926">
        <f>HYPERLINK("https://klasma.github.io/Logging_2401/tillsyn/A 45356-2022 tillsynsbegäran.docx", "A 45356-2022")</f>
        <v/>
      </c>
      <c r="Y926">
        <f>HYPERLINK("https://klasma.github.io/Logging_2401/tillsynsmail/A 45356-2022 tillsynsbegäran mail.docx", "A 45356-2022")</f>
        <v/>
      </c>
    </row>
    <row r="927" ht="15" customHeight="1">
      <c r="A927" t="inlineStr">
        <is>
          <t>A 47362-2022</t>
        </is>
      </c>
      <c r="B927" s="1" t="n">
        <v>44853</v>
      </c>
      <c r="C927" s="1" t="n">
        <v>45792</v>
      </c>
      <c r="D927" t="inlineStr">
        <is>
          <t>VÄSTERBOTTENS LÄN</t>
        </is>
      </c>
      <c r="E927" t="inlineStr">
        <is>
          <t>NORSJÖ</t>
        </is>
      </c>
      <c r="G927" t="n">
        <v>1.4</v>
      </c>
      <c r="H927" t="n">
        <v>0</v>
      </c>
      <c r="I927" t="n">
        <v>0</v>
      </c>
      <c r="J927" t="n">
        <v>2</v>
      </c>
      <c r="K927" t="n">
        <v>0</v>
      </c>
      <c r="L927" t="n">
        <v>0</v>
      </c>
      <c r="M927" t="n">
        <v>0</v>
      </c>
      <c r="N927" t="n">
        <v>0</v>
      </c>
      <c r="O927" t="n">
        <v>2</v>
      </c>
      <c r="P927" t="n">
        <v>0</v>
      </c>
      <c r="Q927" t="n">
        <v>2</v>
      </c>
      <c r="R927" s="2" t="inlineStr">
        <is>
          <t>Lunglav
Ullticka</t>
        </is>
      </c>
      <c r="S927">
        <f>HYPERLINK("https://klasma.github.io/Logging_2417/artfynd/A 47362-2022 artfynd.xlsx", "A 47362-2022")</f>
        <v/>
      </c>
      <c r="T927">
        <f>HYPERLINK("https://klasma.github.io/Logging_2417/kartor/A 47362-2022 karta.png", "A 47362-2022")</f>
        <v/>
      </c>
      <c r="V927">
        <f>HYPERLINK("https://klasma.github.io/Logging_2417/klagomål/A 47362-2022 FSC-klagomål.docx", "A 47362-2022")</f>
        <v/>
      </c>
      <c r="W927">
        <f>HYPERLINK("https://klasma.github.io/Logging_2417/klagomålsmail/A 47362-2022 FSC-klagomål mail.docx", "A 47362-2022")</f>
        <v/>
      </c>
      <c r="X927">
        <f>HYPERLINK("https://klasma.github.io/Logging_2417/tillsyn/A 47362-2022 tillsynsbegäran.docx", "A 47362-2022")</f>
        <v/>
      </c>
      <c r="Y927">
        <f>HYPERLINK("https://klasma.github.io/Logging_2417/tillsynsmail/A 47362-2022 tillsynsbegäran mail.docx", "A 47362-2022")</f>
        <v/>
      </c>
    </row>
    <row r="928" ht="15" customHeight="1">
      <c r="A928" t="inlineStr">
        <is>
          <t>A 48951-2022</t>
        </is>
      </c>
      <c r="B928" s="1" t="n">
        <v>44860</v>
      </c>
      <c r="C928" s="1" t="n">
        <v>45792</v>
      </c>
      <c r="D928" t="inlineStr">
        <is>
          <t>VÄSTERBOTTENS LÄN</t>
        </is>
      </c>
      <c r="E928" t="inlineStr">
        <is>
          <t>NORDMALING</t>
        </is>
      </c>
      <c r="F928" t="inlineStr">
        <is>
          <t>SCA</t>
        </is>
      </c>
      <c r="G928" t="n">
        <v>2.6</v>
      </c>
      <c r="H928" t="n">
        <v>0</v>
      </c>
      <c r="I928" t="n">
        <v>0</v>
      </c>
      <c r="J928" t="n">
        <v>2</v>
      </c>
      <c r="K928" t="n">
        <v>0</v>
      </c>
      <c r="L928" t="n">
        <v>0</v>
      </c>
      <c r="M928" t="n">
        <v>0</v>
      </c>
      <c r="N928" t="n">
        <v>0</v>
      </c>
      <c r="O928" t="n">
        <v>2</v>
      </c>
      <c r="P928" t="n">
        <v>0</v>
      </c>
      <c r="Q928" t="n">
        <v>2</v>
      </c>
      <c r="R928" s="2" t="inlineStr">
        <is>
          <t>Gammelgransskål
Ullticka</t>
        </is>
      </c>
      <c r="S928">
        <f>HYPERLINK("https://klasma.github.io/Logging_2401/artfynd/A 48951-2022 artfynd.xlsx", "A 48951-2022")</f>
        <v/>
      </c>
      <c r="T928">
        <f>HYPERLINK("https://klasma.github.io/Logging_2401/kartor/A 48951-2022 karta.png", "A 48951-2022")</f>
        <v/>
      </c>
      <c r="V928">
        <f>HYPERLINK("https://klasma.github.io/Logging_2401/klagomål/A 48951-2022 FSC-klagomål.docx", "A 48951-2022")</f>
        <v/>
      </c>
      <c r="W928">
        <f>HYPERLINK("https://klasma.github.io/Logging_2401/klagomålsmail/A 48951-2022 FSC-klagomål mail.docx", "A 48951-2022")</f>
        <v/>
      </c>
      <c r="X928">
        <f>HYPERLINK("https://klasma.github.io/Logging_2401/tillsyn/A 48951-2022 tillsynsbegäran.docx", "A 48951-2022")</f>
        <v/>
      </c>
      <c r="Y928">
        <f>HYPERLINK("https://klasma.github.io/Logging_2401/tillsynsmail/A 48951-2022 tillsynsbegäran mail.docx", "A 48951-2022")</f>
        <v/>
      </c>
    </row>
    <row r="929" ht="15" customHeight="1">
      <c r="A929" t="inlineStr">
        <is>
          <t>A 49440-2022</t>
        </is>
      </c>
      <c r="B929" s="1" t="n">
        <v>44859</v>
      </c>
      <c r="C929" s="1" t="n">
        <v>45792</v>
      </c>
      <c r="D929" t="inlineStr">
        <is>
          <t>VÄSTERBOTTENS LÄN</t>
        </is>
      </c>
      <c r="E929" t="inlineStr">
        <is>
          <t>SKELLEFTEÅ</t>
        </is>
      </c>
      <c r="G929" t="n">
        <v>1.5</v>
      </c>
      <c r="H929" t="n">
        <v>0</v>
      </c>
      <c r="I929" t="n">
        <v>0</v>
      </c>
      <c r="J929" t="n">
        <v>2</v>
      </c>
      <c r="K929" t="n">
        <v>0</v>
      </c>
      <c r="L929" t="n">
        <v>0</v>
      </c>
      <c r="M929" t="n">
        <v>0</v>
      </c>
      <c r="N929" t="n">
        <v>0</v>
      </c>
      <c r="O929" t="n">
        <v>2</v>
      </c>
      <c r="P929" t="n">
        <v>0</v>
      </c>
      <c r="Q929" t="n">
        <v>2</v>
      </c>
      <c r="R929" s="2" t="inlineStr">
        <is>
          <t>Gränsticka
Ullticka</t>
        </is>
      </c>
      <c r="S929">
        <f>HYPERLINK("https://klasma.github.io/Logging_2482/artfynd/A 49440-2022 artfynd.xlsx", "A 49440-2022")</f>
        <v/>
      </c>
      <c r="T929">
        <f>HYPERLINK("https://klasma.github.io/Logging_2482/kartor/A 49440-2022 karta.png", "A 49440-2022")</f>
        <v/>
      </c>
      <c r="V929">
        <f>HYPERLINK("https://klasma.github.io/Logging_2482/klagomål/A 49440-2022 FSC-klagomål.docx", "A 49440-2022")</f>
        <v/>
      </c>
      <c r="W929">
        <f>HYPERLINK("https://klasma.github.io/Logging_2482/klagomålsmail/A 49440-2022 FSC-klagomål mail.docx", "A 49440-2022")</f>
        <v/>
      </c>
      <c r="X929">
        <f>HYPERLINK("https://klasma.github.io/Logging_2482/tillsyn/A 49440-2022 tillsynsbegäran.docx", "A 49440-2022")</f>
        <v/>
      </c>
      <c r="Y929">
        <f>HYPERLINK("https://klasma.github.io/Logging_2482/tillsynsmail/A 49440-2022 tillsynsbegäran mail.docx", "A 49440-2022")</f>
        <v/>
      </c>
    </row>
    <row r="930" ht="15" customHeight="1">
      <c r="A930" t="inlineStr">
        <is>
          <t>A 49064-2022</t>
        </is>
      </c>
      <c r="B930" s="1" t="n">
        <v>44860</v>
      </c>
      <c r="C930" s="1" t="n">
        <v>45792</v>
      </c>
      <c r="D930" t="inlineStr">
        <is>
          <t>VÄSTERBOTTENS LÄN</t>
        </is>
      </c>
      <c r="E930" t="inlineStr">
        <is>
          <t>ÅSELE</t>
        </is>
      </c>
      <c r="F930" t="inlineStr">
        <is>
          <t>Sveaskog</t>
        </is>
      </c>
      <c r="G930" t="n">
        <v>15.4</v>
      </c>
      <c r="H930" t="n">
        <v>0</v>
      </c>
      <c r="I930" t="n">
        <v>1</v>
      </c>
      <c r="J930" t="n">
        <v>1</v>
      </c>
      <c r="K930" t="n">
        <v>0</v>
      </c>
      <c r="L930" t="n">
        <v>0</v>
      </c>
      <c r="M930" t="n">
        <v>0</v>
      </c>
      <c r="N930" t="n">
        <v>0</v>
      </c>
      <c r="O930" t="n">
        <v>1</v>
      </c>
      <c r="P930" t="n">
        <v>0</v>
      </c>
      <c r="Q930" t="n">
        <v>2</v>
      </c>
      <c r="R930" s="2" t="inlineStr">
        <is>
          <t>Granticka
Dropptaggsvamp</t>
        </is>
      </c>
      <c r="S930">
        <f>HYPERLINK("https://klasma.github.io/Logging_2463/artfynd/A 49064-2022 artfynd.xlsx", "A 49064-2022")</f>
        <v/>
      </c>
      <c r="T930">
        <f>HYPERLINK("https://klasma.github.io/Logging_2463/kartor/A 49064-2022 karta.png", "A 49064-2022")</f>
        <v/>
      </c>
      <c r="V930">
        <f>HYPERLINK("https://klasma.github.io/Logging_2463/klagomål/A 49064-2022 FSC-klagomål.docx", "A 49064-2022")</f>
        <v/>
      </c>
      <c r="W930">
        <f>HYPERLINK("https://klasma.github.io/Logging_2463/klagomålsmail/A 49064-2022 FSC-klagomål mail.docx", "A 49064-2022")</f>
        <v/>
      </c>
      <c r="X930">
        <f>HYPERLINK("https://klasma.github.io/Logging_2463/tillsyn/A 49064-2022 tillsynsbegäran.docx", "A 49064-2022")</f>
        <v/>
      </c>
      <c r="Y930">
        <f>HYPERLINK("https://klasma.github.io/Logging_2463/tillsynsmail/A 49064-2022 tillsynsbegäran mail.docx", "A 49064-2022")</f>
        <v/>
      </c>
    </row>
    <row r="931" ht="15" customHeight="1">
      <c r="A931" t="inlineStr">
        <is>
          <t>A 49578-2022</t>
        </is>
      </c>
      <c r="B931" s="1" t="n">
        <v>44862</v>
      </c>
      <c r="C931" s="1" t="n">
        <v>45792</v>
      </c>
      <c r="D931" t="inlineStr">
        <is>
          <t>VÄSTERBOTTENS LÄN</t>
        </is>
      </c>
      <c r="E931" t="inlineStr">
        <is>
          <t>SKELLEFTEÅ</t>
        </is>
      </c>
      <c r="F931" t="inlineStr">
        <is>
          <t>Holmen skog AB</t>
        </is>
      </c>
      <c r="G931" t="n">
        <v>7.6</v>
      </c>
      <c r="H931" t="n">
        <v>2</v>
      </c>
      <c r="I931" t="n">
        <v>0</v>
      </c>
      <c r="J931" t="n">
        <v>0</v>
      </c>
      <c r="K931" t="n">
        <v>0</v>
      </c>
      <c r="L931" t="n">
        <v>0</v>
      </c>
      <c r="M931" t="n">
        <v>0</v>
      </c>
      <c r="N931" t="n">
        <v>0</v>
      </c>
      <c r="O931" t="n">
        <v>0</v>
      </c>
      <c r="P931" t="n">
        <v>0</v>
      </c>
      <c r="Q931" t="n">
        <v>2</v>
      </c>
      <c r="R931" s="2" t="inlineStr">
        <is>
          <t>Orre
Tjäder</t>
        </is>
      </c>
      <c r="S931">
        <f>HYPERLINK("https://klasma.github.io/Logging_2482/artfynd/A 49578-2022 artfynd.xlsx", "A 49578-2022")</f>
        <v/>
      </c>
      <c r="T931">
        <f>HYPERLINK("https://klasma.github.io/Logging_2482/kartor/A 49578-2022 karta.png", "A 49578-2022")</f>
        <v/>
      </c>
      <c r="V931">
        <f>HYPERLINK("https://klasma.github.io/Logging_2482/klagomål/A 49578-2022 FSC-klagomål.docx", "A 49578-2022")</f>
        <v/>
      </c>
      <c r="W931">
        <f>HYPERLINK("https://klasma.github.io/Logging_2482/klagomålsmail/A 49578-2022 FSC-klagomål mail.docx", "A 49578-2022")</f>
        <v/>
      </c>
      <c r="X931">
        <f>HYPERLINK("https://klasma.github.io/Logging_2482/tillsyn/A 49578-2022 tillsynsbegäran.docx", "A 49578-2022")</f>
        <v/>
      </c>
      <c r="Y931">
        <f>HYPERLINK("https://klasma.github.io/Logging_2482/tillsynsmail/A 49578-2022 tillsynsbegäran mail.docx", "A 49578-2022")</f>
        <v/>
      </c>
      <c r="Z931">
        <f>HYPERLINK("https://klasma.github.io/Logging_2482/fåglar/A 49578-2022 prioriterade fågelarter.docx", "A 49578-2022")</f>
        <v/>
      </c>
    </row>
    <row r="932" ht="15" customHeight="1">
      <c r="A932" t="inlineStr">
        <is>
          <t>A 51549-2022</t>
        </is>
      </c>
      <c r="B932" s="1" t="n">
        <v>44869</v>
      </c>
      <c r="C932" s="1" t="n">
        <v>45792</v>
      </c>
      <c r="D932" t="inlineStr">
        <is>
          <t>VÄSTERBOTTENS LÄN</t>
        </is>
      </c>
      <c r="E932" t="inlineStr">
        <is>
          <t>VINDELN</t>
        </is>
      </c>
      <c r="F932" t="inlineStr">
        <is>
          <t>SCA</t>
        </is>
      </c>
      <c r="G932" t="n">
        <v>9.9</v>
      </c>
      <c r="H932" t="n">
        <v>0</v>
      </c>
      <c r="I932" t="n">
        <v>0</v>
      </c>
      <c r="J932" t="n">
        <v>2</v>
      </c>
      <c r="K932" t="n">
        <v>0</v>
      </c>
      <c r="L932" t="n">
        <v>0</v>
      </c>
      <c r="M932" t="n">
        <v>0</v>
      </c>
      <c r="N932" t="n">
        <v>0</v>
      </c>
      <c r="O932" t="n">
        <v>2</v>
      </c>
      <c r="P932" t="n">
        <v>0</v>
      </c>
      <c r="Q932" t="n">
        <v>2</v>
      </c>
      <c r="R932" s="2" t="inlineStr">
        <is>
          <t>Blå taggsvamp
Orange taggsvamp</t>
        </is>
      </c>
      <c r="S932">
        <f>HYPERLINK("https://klasma.github.io/Logging_2404/artfynd/A 51549-2022 artfynd.xlsx", "A 51549-2022")</f>
        <v/>
      </c>
      <c r="T932">
        <f>HYPERLINK("https://klasma.github.io/Logging_2404/kartor/A 51549-2022 karta.png", "A 51549-2022")</f>
        <v/>
      </c>
      <c r="V932">
        <f>HYPERLINK("https://klasma.github.io/Logging_2404/klagomål/A 51549-2022 FSC-klagomål.docx", "A 51549-2022")</f>
        <v/>
      </c>
      <c r="W932">
        <f>HYPERLINK("https://klasma.github.io/Logging_2404/klagomålsmail/A 51549-2022 FSC-klagomål mail.docx", "A 51549-2022")</f>
        <v/>
      </c>
      <c r="X932">
        <f>HYPERLINK("https://klasma.github.io/Logging_2404/tillsyn/A 51549-2022 tillsynsbegäran.docx", "A 51549-2022")</f>
        <v/>
      </c>
      <c r="Y932">
        <f>HYPERLINK("https://klasma.github.io/Logging_2404/tillsynsmail/A 51549-2022 tillsynsbegäran mail.docx", "A 51549-2022")</f>
        <v/>
      </c>
    </row>
    <row r="933" ht="15" customHeight="1">
      <c r="A933" t="inlineStr">
        <is>
          <t>A 51945-2022</t>
        </is>
      </c>
      <c r="B933" s="1" t="n">
        <v>44872</v>
      </c>
      <c r="C933" s="1" t="n">
        <v>45792</v>
      </c>
      <c r="D933" t="inlineStr">
        <is>
          <t>VÄSTERBOTTENS LÄN</t>
        </is>
      </c>
      <c r="E933" t="inlineStr">
        <is>
          <t>SKELLEFTEÅ</t>
        </is>
      </c>
      <c r="F933" t="inlineStr">
        <is>
          <t>Holmen skog AB</t>
        </is>
      </c>
      <c r="G933" t="n">
        <v>7.1</v>
      </c>
      <c r="H933" t="n">
        <v>1</v>
      </c>
      <c r="I933" t="n">
        <v>1</v>
      </c>
      <c r="J933" t="n">
        <v>0</v>
      </c>
      <c r="K933" t="n">
        <v>0</v>
      </c>
      <c r="L933" t="n">
        <v>0</v>
      </c>
      <c r="M933" t="n">
        <v>0</v>
      </c>
      <c r="N933" t="n">
        <v>0</v>
      </c>
      <c r="O933" t="n">
        <v>0</v>
      </c>
      <c r="P933" t="n">
        <v>0</v>
      </c>
      <c r="Q933" t="n">
        <v>2</v>
      </c>
      <c r="R933" s="2" t="inlineStr">
        <is>
          <t>Trådticka
Revlummer</t>
        </is>
      </c>
      <c r="S933">
        <f>HYPERLINK("https://klasma.github.io/Logging_2482/artfynd/A 51945-2022 artfynd.xlsx", "A 51945-2022")</f>
        <v/>
      </c>
      <c r="T933">
        <f>HYPERLINK("https://klasma.github.io/Logging_2482/kartor/A 51945-2022 karta.png", "A 51945-2022")</f>
        <v/>
      </c>
      <c r="V933">
        <f>HYPERLINK("https://klasma.github.io/Logging_2482/klagomål/A 51945-2022 FSC-klagomål.docx", "A 51945-2022")</f>
        <v/>
      </c>
      <c r="W933">
        <f>HYPERLINK("https://klasma.github.io/Logging_2482/klagomålsmail/A 51945-2022 FSC-klagomål mail.docx", "A 51945-2022")</f>
        <v/>
      </c>
      <c r="X933">
        <f>HYPERLINK("https://klasma.github.io/Logging_2482/tillsyn/A 51945-2022 tillsynsbegäran.docx", "A 51945-2022")</f>
        <v/>
      </c>
      <c r="Y933">
        <f>HYPERLINK("https://klasma.github.io/Logging_2482/tillsynsmail/A 51945-2022 tillsynsbegäran mail.docx", "A 51945-2022")</f>
        <v/>
      </c>
    </row>
    <row r="934" ht="15" customHeight="1">
      <c r="A934" t="inlineStr">
        <is>
          <t>A 52635-2022</t>
        </is>
      </c>
      <c r="B934" s="1" t="n">
        <v>44874</v>
      </c>
      <c r="C934" s="1" t="n">
        <v>45792</v>
      </c>
      <c r="D934" t="inlineStr">
        <is>
          <t>VÄSTERBOTTENS LÄN</t>
        </is>
      </c>
      <c r="E934" t="inlineStr">
        <is>
          <t>UMEÅ</t>
        </is>
      </c>
      <c r="G934" t="n">
        <v>3.1</v>
      </c>
      <c r="H934" t="n">
        <v>0</v>
      </c>
      <c r="I934" t="n">
        <v>1</v>
      </c>
      <c r="J934" t="n">
        <v>1</v>
      </c>
      <c r="K934" t="n">
        <v>0</v>
      </c>
      <c r="L934" t="n">
        <v>0</v>
      </c>
      <c r="M934" t="n">
        <v>0</v>
      </c>
      <c r="N934" t="n">
        <v>0</v>
      </c>
      <c r="O934" t="n">
        <v>1</v>
      </c>
      <c r="P934" t="n">
        <v>0</v>
      </c>
      <c r="Q934" t="n">
        <v>2</v>
      </c>
      <c r="R934" s="2" t="inlineStr">
        <is>
          <t>Garnlav
Vågbandad barkbock</t>
        </is>
      </c>
      <c r="S934">
        <f>HYPERLINK("https://klasma.github.io/Logging_2480/artfynd/A 52635-2022 artfynd.xlsx", "A 52635-2022")</f>
        <v/>
      </c>
      <c r="T934">
        <f>HYPERLINK("https://klasma.github.io/Logging_2480/kartor/A 52635-2022 karta.png", "A 52635-2022")</f>
        <v/>
      </c>
      <c r="V934">
        <f>HYPERLINK("https://klasma.github.io/Logging_2480/klagomål/A 52635-2022 FSC-klagomål.docx", "A 52635-2022")</f>
        <v/>
      </c>
      <c r="W934">
        <f>HYPERLINK("https://klasma.github.io/Logging_2480/klagomålsmail/A 52635-2022 FSC-klagomål mail.docx", "A 52635-2022")</f>
        <v/>
      </c>
      <c r="X934">
        <f>HYPERLINK("https://klasma.github.io/Logging_2480/tillsyn/A 52635-2022 tillsynsbegäran.docx", "A 52635-2022")</f>
        <v/>
      </c>
      <c r="Y934">
        <f>HYPERLINK("https://klasma.github.io/Logging_2480/tillsynsmail/A 52635-2022 tillsynsbegäran mail.docx", "A 52635-2022")</f>
        <v/>
      </c>
    </row>
    <row r="935" ht="15" customHeight="1">
      <c r="A935" t="inlineStr">
        <is>
          <t>A 52683-2022</t>
        </is>
      </c>
      <c r="B935" s="1" t="n">
        <v>44874</v>
      </c>
      <c r="C935" s="1" t="n">
        <v>45792</v>
      </c>
      <c r="D935" t="inlineStr">
        <is>
          <t>VÄSTERBOTTENS LÄN</t>
        </is>
      </c>
      <c r="E935" t="inlineStr">
        <is>
          <t>LYCKSELE</t>
        </is>
      </c>
      <c r="F935" t="inlineStr">
        <is>
          <t>Sveaskog</t>
        </is>
      </c>
      <c r="G935" t="n">
        <v>24.8</v>
      </c>
      <c r="H935" t="n">
        <v>1</v>
      </c>
      <c r="I935" t="n">
        <v>1</v>
      </c>
      <c r="J935" t="n">
        <v>1</v>
      </c>
      <c r="K935" t="n">
        <v>0</v>
      </c>
      <c r="L935" t="n">
        <v>0</v>
      </c>
      <c r="M935" t="n">
        <v>0</v>
      </c>
      <c r="N935" t="n">
        <v>0</v>
      </c>
      <c r="O935" t="n">
        <v>1</v>
      </c>
      <c r="P935" t="n">
        <v>0</v>
      </c>
      <c r="Q935" t="n">
        <v>2</v>
      </c>
      <c r="R935" s="2" t="inlineStr">
        <is>
          <t>Rödvingetrast
Ögonpyrola</t>
        </is>
      </c>
      <c r="S935">
        <f>HYPERLINK("https://klasma.github.io/Logging_2481/artfynd/A 52683-2022 artfynd.xlsx", "A 52683-2022")</f>
        <v/>
      </c>
      <c r="T935">
        <f>HYPERLINK("https://klasma.github.io/Logging_2481/kartor/A 52683-2022 karta.png", "A 52683-2022")</f>
        <v/>
      </c>
      <c r="V935">
        <f>HYPERLINK("https://klasma.github.io/Logging_2481/klagomål/A 52683-2022 FSC-klagomål.docx", "A 52683-2022")</f>
        <v/>
      </c>
      <c r="W935">
        <f>HYPERLINK("https://klasma.github.io/Logging_2481/klagomålsmail/A 52683-2022 FSC-klagomål mail.docx", "A 52683-2022")</f>
        <v/>
      </c>
      <c r="X935">
        <f>HYPERLINK("https://klasma.github.io/Logging_2481/tillsyn/A 52683-2022 tillsynsbegäran.docx", "A 52683-2022")</f>
        <v/>
      </c>
      <c r="Y935">
        <f>HYPERLINK("https://klasma.github.io/Logging_2481/tillsynsmail/A 52683-2022 tillsynsbegäran mail.docx", "A 52683-2022")</f>
        <v/>
      </c>
      <c r="Z935">
        <f>HYPERLINK("https://klasma.github.io/Logging_2481/fåglar/A 52683-2022 prioriterade fågelarter.docx", "A 52683-2022")</f>
        <v/>
      </c>
    </row>
    <row r="936" ht="15" customHeight="1">
      <c r="A936" t="inlineStr">
        <is>
          <t>A 53137-2022</t>
        </is>
      </c>
      <c r="B936" s="1" t="n">
        <v>44876</v>
      </c>
      <c r="C936" s="1" t="n">
        <v>45792</v>
      </c>
      <c r="D936" t="inlineStr">
        <is>
          <t>VÄSTERBOTTENS LÄN</t>
        </is>
      </c>
      <c r="E936" t="inlineStr">
        <is>
          <t>SKELLEFTEÅ</t>
        </is>
      </c>
      <c r="F936" t="inlineStr">
        <is>
          <t>Holmen skog AB</t>
        </is>
      </c>
      <c r="G936" t="n">
        <v>7.5</v>
      </c>
      <c r="H936" t="n">
        <v>0</v>
      </c>
      <c r="I936" t="n">
        <v>1</v>
      </c>
      <c r="J936" t="n">
        <v>1</v>
      </c>
      <c r="K936" t="n">
        <v>0</v>
      </c>
      <c r="L936" t="n">
        <v>0</v>
      </c>
      <c r="M936" t="n">
        <v>0</v>
      </c>
      <c r="N936" t="n">
        <v>0</v>
      </c>
      <c r="O936" t="n">
        <v>1</v>
      </c>
      <c r="P936" t="n">
        <v>0</v>
      </c>
      <c r="Q936" t="n">
        <v>2</v>
      </c>
      <c r="R936" s="2" t="inlineStr">
        <is>
          <t>Garnlav
Dropptaggsvamp</t>
        </is>
      </c>
      <c r="S936">
        <f>HYPERLINK("https://klasma.github.io/Logging_2482/artfynd/A 53137-2022 artfynd.xlsx", "A 53137-2022")</f>
        <v/>
      </c>
      <c r="T936">
        <f>HYPERLINK("https://klasma.github.io/Logging_2482/kartor/A 53137-2022 karta.png", "A 53137-2022")</f>
        <v/>
      </c>
      <c r="V936">
        <f>HYPERLINK("https://klasma.github.io/Logging_2482/klagomål/A 53137-2022 FSC-klagomål.docx", "A 53137-2022")</f>
        <v/>
      </c>
      <c r="W936">
        <f>HYPERLINK("https://klasma.github.io/Logging_2482/klagomålsmail/A 53137-2022 FSC-klagomål mail.docx", "A 53137-2022")</f>
        <v/>
      </c>
      <c r="X936">
        <f>HYPERLINK("https://klasma.github.io/Logging_2482/tillsyn/A 53137-2022 tillsynsbegäran.docx", "A 53137-2022")</f>
        <v/>
      </c>
      <c r="Y936">
        <f>HYPERLINK("https://klasma.github.io/Logging_2482/tillsynsmail/A 53137-2022 tillsynsbegäran mail.docx", "A 53137-2022")</f>
        <v/>
      </c>
    </row>
    <row r="937" ht="15" customHeight="1">
      <c r="A937" t="inlineStr">
        <is>
          <t>A 54823-2022</t>
        </is>
      </c>
      <c r="B937" s="1" t="n">
        <v>44883</v>
      </c>
      <c r="C937" s="1" t="n">
        <v>45792</v>
      </c>
      <c r="D937" t="inlineStr">
        <is>
          <t>VÄSTERBOTTENS LÄN</t>
        </is>
      </c>
      <c r="E937" t="inlineStr">
        <is>
          <t>BJURHOLM</t>
        </is>
      </c>
      <c r="G937" t="n">
        <v>1.6</v>
      </c>
      <c r="H937" t="n">
        <v>0</v>
      </c>
      <c r="I937" t="n">
        <v>0</v>
      </c>
      <c r="J937" t="n">
        <v>2</v>
      </c>
      <c r="K937" t="n">
        <v>0</v>
      </c>
      <c r="L937" t="n">
        <v>0</v>
      </c>
      <c r="M937" t="n">
        <v>0</v>
      </c>
      <c r="N937" t="n">
        <v>0</v>
      </c>
      <c r="O937" t="n">
        <v>2</v>
      </c>
      <c r="P937" t="n">
        <v>0</v>
      </c>
      <c r="Q937" t="n">
        <v>2</v>
      </c>
      <c r="R937" s="2" t="inlineStr">
        <is>
          <t>Garnlav
Violettgrå tagellav</t>
        </is>
      </c>
      <c r="S937">
        <f>HYPERLINK("https://klasma.github.io/Logging_2403/artfynd/A 54823-2022 artfynd.xlsx", "A 54823-2022")</f>
        <v/>
      </c>
      <c r="T937">
        <f>HYPERLINK("https://klasma.github.io/Logging_2403/kartor/A 54823-2022 karta.png", "A 54823-2022")</f>
        <v/>
      </c>
      <c r="V937">
        <f>HYPERLINK("https://klasma.github.io/Logging_2403/klagomål/A 54823-2022 FSC-klagomål.docx", "A 54823-2022")</f>
        <v/>
      </c>
      <c r="W937">
        <f>HYPERLINK("https://klasma.github.io/Logging_2403/klagomålsmail/A 54823-2022 FSC-klagomål mail.docx", "A 54823-2022")</f>
        <v/>
      </c>
      <c r="X937">
        <f>HYPERLINK("https://klasma.github.io/Logging_2403/tillsyn/A 54823-2022 tillsynsbegäran.docx", "A 54823-2022")</f>
        <v/>
      </c>
      <c r="Y937">
        <f>HYPERLINK("https://klasma.github.io/Logging_2403/tillsynsmail/A 54823-2022 tillsynsbegäran mail.docx", "A 54823-2022")</f>
        <v/>
      </c>
    </row>
    <row r="938" ht="15" customHeight="1">
      <c r="A938" t="inlineStr">
        <is>
          <t>A 56157-2022</t>
        </is>
      </c>
      <c r="B938" s="1" t="n">
        <v>44889</v>
      </c>
      <c r="C938" s="1" t="n">
        <v>45792</v>
      </c>
      <c r="D938" t="inlineStr">
        <is>
          <t>VÄSTERBOTTENS LÄN</t>
        </is>
      </c>
      <c r="E938" t="inlineStr">
        <is>
          <t>SKELLEFTEÅ</t>
        </is>
      </c>
      <c r="G938" t="n">
        <v>3.9</v>
      </c>
      <c r="H938" t="n">
        <v>2</v>
      </c>
      <c r="I938" t="n">
        <v>0</v>
      </c>
      <c r="J938" t="n">
        <v>0</v>
      </c>
      <c r="K938" t="n">
        <v>0</v>
      </c>
      <c r="L938" t="n">
        <v>0</v>
      </c>
      <c r="M938" t="n">
        <v>0</v>
      </c>
      <c r="N938" t="n">
        <v>0</v>
      </c>
      <c r="O938" t="n">
        <v>0</v>
      </c>
      <c r="P938" t="n">
        <v>0</v>
      </c>
      <c r="Q938" t="n">
        <v>2</v>
      </c>
      <c r="R938" s="2" t="inlineStr">
        <is>
          <t>Fläcknycklar
Revlummer</t>
        </is>
      </c>
      <c r="S938">
        <f>HYPERLINK("https://klasma.github.io/Logging_2482/artfynd/A 56157-2022 artfynd.xlsx", "A 56157-2022")</f>
        <v/>
      </c>
      <c r="T938">
        <f>HYPERLINK("https://klasma.github.io/Logging_2482/kartor/A 56157-2022 karta.png", "A 56157-2022")</f>
        <v/>
      </c>
      <c r="V938">
        <f>HYPERLINK("https://klasma.github.io/Logging_2482/klagomål/A 56157-2022 FSC-klagomål.docx", "A 56157-2022")</f>
        <v/>
      </c>
      <c r="W938">
        <f>HYPERLINK("https://klasma.github.io/Logging_2482/klagomålsmail/A 56157-2022 FSC-klagomål mail.docx", "A 56157-2022")</f>
        <v/>
      </c>
      <c r="X938">
        <f>HYPERLINK("https://klasma.github.io/Logging_2482/tillsyn/A 56157-2022 tillsynsbegäran.docx", "A 56157-2022")</f>
        <v/>
      </c>
      <c r="Y938">
        <f>HYPERLINK("https://klasma.github.io/Logging_2482/tillsynsmail/A 56157-2022 tillsynsbegäran mail.docx", "A 56157-2022")</f>
        <v/>
      </c>
    </row>
    <row r="939" ht="15" customHeight="1">
      <c r="A939" t="inlineStr">
        <is>
          <t>A 57634-2022</t>
        </is>
      </c>
      <c r="B939" s="1" t="n">
        <v>44897</v>
      </c>
      <c r="C939" s="1" t="n">
        <v>45792</v>
      </c>
      <c r="D939" t="inlineStr">
        <is>
          <t>VÄSTERBOTTENS LÄN</t>
        </is>
      </c>
      <c r="E939" t="inlineStr">
        <is>
          <t>BJURHOLM</t>
        </is>
      </c>
      <c r="F939" t="inlineStr">
        <is>
          <t>Holmen skog AB</t>
        </is>
      </c>
      <c r="G939" t="n">
        <v>4.1</v>
      </c>
      <c r="H939" t="n">
        <v>0</v>
      </c>
      <c r="I939" t="n">
        <v>0</v>
      </c>
      <c r="J939" t="n">
        <v>2</v>
      </c>
      <c r="K939" t="n">
        <v>0</v>
      </c>
      <c r="L939" t="n">
        <v>0</v>
      </c>
      <c r="M939" t="n">
        <v>0</v>
      </c>
      <c r="N939" t="n">
        <v>0</v>
      </c>
      <c r="O939" t="n">
        <v>2</v>
      </c>
      <c r="P939" t="n">
        <v>0</v>
      </c>
      <c r="Q939" t="n">
        <v>2</v>
      </c>
      <c r="R939" s="2" t="inlineStr">
        <is>
          <t>Granticka
Lunglav</t>
        </is>
      </c>
      <c r="S939">
        <f>HYPERLINK("https://klasma.github.io/Logging_2403/artfynd/A 57634-2022 artfynd.xlsx", "A 57634-2022")</f>
        <v/>
      </c>
      <c r="T939">
        <f>HYPERLINK("https://klasma.github.io/Logging_2403/kartor/A 57634-2022 karta.png", "A 57634-2022")</f>
        <v/>
      </c>
      <c r="V939">
        <f>HYPERLINK("https://klasma.github.io/Logging_2403/klagomål/A 57634-2022 FSC-klagomål.docx", "A 57634-2022")</f>
        <v/>
      </c>
      <c r="W939">
        <f>HYPERLINK("https://klasma.github.io/Logging_2403/klagomålsmail/A 57634-2022 FSC-klagomål mail.docx", "A 57634-2022")</f>
        <v/>
      </c>
      <c r="X939">
        <f>HYPERLINK("https://klasma.github.io/Logging_2403/tillsyn/A 57634-2022 tillsynsbegäran.docx", "A 57634-2022")</f>
        <v/>
      </c>
      <c r="Y939">
        <f>HYPERLINK("https://klasma.github.io/Logging_2403/tillsynsmail/A 57634-2022 tillsynsbegäran mail.docx", "A 57634-2022")</f>
        <v/>
      </c>
    </row>
    <row r="940" ht="15" customHeight="1">
      <c r="A940" t="inlineStr">
        <is>
          <t>A 58624-2022</t>
        </is>
      </c>
      <c r="B940" s="1" t="n">
        <v>44902</v>
      </c>
      <c r="C940" s="1" t="n">
        <v>45792</v>
      </c>
      <c r="D940" t="inlineStr">
        <is>
          <t>VÄSTERBOTTENS LÄN</t>
        </is>
      </c>
      <c r="E940" t="inlineStr">
        <is>
          <t>LYCKSELE</t>
        </is>
      </c>
      <c r="F940" t="inlineStr">
        <is>
          <t>Sveaskog</t>
        </is>
      </c>
      <c r="G940" t="n">
        <v>3.2</v>
      </c>
      <c r="H940" t="n">
        <v>0</v>
      </c>
      <c r="I940" t="n">
        <v>0</v>
      </c>
      <c r="J940" t="n">
        <v>2</v>
      </c>
      <c r="K940" t="n">
        <v>0</v>
      </c>
      <c r="L940" t="n">
        <v>0</v>
      </c>
      <c r="M940" t="n">
        <v>0</v>
      </c>
      <c r="N940" t="n">
        <v>0</v>
      </c>
      <c r="O940" t="n">
        <v>2</v>
      </c>
      <c r="P940" t="n">
        <v>0</v>
      </c>
      <c r="Q940" t="n">
        <v>2</v>
      </c>
      <c r="R940" s="2" t="inlineStr">
        <is>
          <t>Blanksvart spiklav
Vedflamlav</t>
        </is>
      </c>
      <c r="S940">
        <f>HYPERLINK("https://klasma.github.io/Logging_2481/artfynd/A 58624-2022 artfynd.xlsx", "A 58624-2022")</f>
        <v/>
      </c>
      <c r="T940">
        <f>HYPERLINK("https://klasma.github.io/Logging_2481/kartor/A 58624-2022 karta.png", "A 58624-2022")</f>
        <v/>
      </c>
      <c r="V940">
        <f>HYPERLINK("https://klasma.github.io/Logging_2481/klagomål/A 58624-2022 FSC-klagomål.docx", "A 58624-2022")</f>
        <v/>
      </c>
      <c r="W940">
        <f>HYPERLINK("https://klasma.github.io/Logging_2481/klagomålsmail/A 58624-2022 FSC-klagomål mail.docx", "A 58624-2022")</f>
        <v/>
      </c>
      <c r="X940">
        <f>HYPERLINK("https://klasma.github.io/Logging_2481/tillsyn/A 58624-2022 tillsynsbegäran.docx", "A 58624-2022")</f>
        <v/>
      </c>
      <c r="Y940">
        <f>HYPERLINK("https://klasma.github.io/Logging_2481/tillsynsmail/A 58624-2022 tillsynsbegäran mail.docx", "A 58624-2022")</f>
        <v/>
      </c>
    </row>
    <row r="941" ht="15" customHeight="1">
      <c r="A941" t="inlineStr">
        <is>
          <t>A 58736-2022</t>
        </is>
      </c>
      <c r="B941" s="1" t="n">
        <v>44902</v>
      </c>
      <c r="C941" s="1" t="n">
        <v>45792</v>
      </c>
      <c r="D941" t="inlineStr">
        <is>
          <t>VÄSTERBOTTENS LÄN</t>
        </is>
      </c>
      <c r="E941" t="inlineStr">
        <is>
          <t>DOROTEA</t>
        </is>
      </c>
      <c r="F941" t="inlineStr">
        <is>
          <t>SCA</t>
        </is>
      </c>
      <c r="G941" t="n">
        <v>3.4</v>
      </c>
      <c r="H941" t="n">
        <v>0</v>
      </c>
      <c r="I941" t="n">
        <v>0</v>
      </c>
      <c r="J941" t="n">
        <v>2</v>
      </c>
      <c r="K941" t="n">
        <v>0</v>
      </c>
      <c r="L941" t="n">
        <v>0</v>
      </c>
      <c r="M941" t="n">
        <v>0</v>
      </c>
      <c r="N941" t="n">
        <v>0</v>
      </c>
      <c r="O941" t="n">
        <v>2</v>
      </c>
      <c r="P941" t="n">
        <v>0</v>
      </c>
      <c r="Q941" t="n">
        <v>2</v>
      </c>
      <c r="R941" s="2" t="inlineStr">
        <is>
          <t>Lunglav
Skrovellav</t>
        </is>
      </c>
      <c r="S941">
        <f>HYPERLINK("https://klasma.github.io/Logging_2425/artfynd/A 58736-2022 artfynd.xlsx", "A 58736-2022")</f>
        <v/>
      </c>
      <c r="T941">
        <f>HYPERLINK("https://klasma.github.io/Logging_2425/kartor/A 58736-2022 karta.png", "A 58736-2022")</f>
        <v/>
      </c>
      <c r="V941">
        <f>HYPERLINK("https://klasma.github.io/Logging_2425/klagomål/A 58736-2022 FSC-klagomål.docx", "A 58736-2022")</f>
        <v/>
      </c>
      <c r="W941">
        <f>HYPERLINK("https://klasma.github.io/Logging_2425/klagomålsmail/A 58736-2022 FSC-klagomål mail.docx", "A 58736-2022")</f>
        <v/>
      </c>
      <c r="X941">
        <f>HYPERLINK("https://klasma.github.io/Logging_2425/tillsyn/A 58736-2022 tillsynsbegäran.docx", "A 58736-2022")</f>
        <v/>
      </c>
      <c r="Y941">
        <f>HYPERLINK("https://klasma.github.io/Logging_2425/tillsynsmail/A 58736-2022 tillsynsbegäran mail.docx", "A 58736-2022")</f>
        <v/>
      </c>
    </row>
    <row r="942" ht="15" customHeight="1">
      <c r="A942" t="inlineStr">
        <is>
          <t>A 60688-2022</t>
        </is>
      </c>
      <c r="B942" s="1" t="n">
        <v>44911</v>
      </c>
      <c r="C942" s="1" t="n">
        <v>45792</v>
      </c>
      <c r="D942" t="inlineStr">
        <is>
          <t>VÄSTERBOTTENS LÄN</t>
        </is>
      </c>
      <c r="E942" t="inlineStr">
        <is>
          <t>BJURHOLM</t>
        </is>
      </c>
      <c r="G942" t="n">
        <v>1.8</v>
      </c>
      <c r="H942" t="n">
        <v>0</v>
      </c>
      <c r="I942" t="n">
        <v>1</v>
      </c>
      <c r="J942" t="n">
        <v>1</v>
      </c>
      <c r="K942" t="n">
        <v>0</v>
      </c>
      <c r="L942" t="n">
        <v>0</v>
      </c>
      <c r="M942" t="n">
        <v>0</v>
      </c>
      <c r="N942" t="n">
        <v>0</v>
      </c>
      <c r="O942" t="n">
        <v>1</v>
      </c>
      <c r="P942" t="n">
        <v>0</v>
      </c>
      <c r="Q942" t="n">
        <v>2</v>
      </c>
      <c r="R942" s="2" t="inlineStr">
        <is>
          <t>Talltaggsvamp
Stuplav</t>
        </is>
      </c>
      <c r="S942">
        <f>HYPERLINK("https://klasma.github.io/Logging_2403/artfynd/A 60688-2022 artfynd.xlsx", "A 60688-2022")</f>
        <v/>
      </c>
      <c r="T942">
        <f>HYPERLINK("https://klasma.github.io/Logging_2403/kartor/A 60688-2022 karta.png", "A 60688-2022")</f>
        <v/>
      </c>
      <c r="V942">
        <f>HYPERLINK("https://klasma.github.io/Logging_2403/klagomål/A 60688-2022 FSC-klagomål.docx", "A 60688-2022")</f>
        <v/>
      </c>
      <c r="W942">
        <f>HYPERLINK("https://klasma.github.io/Logging_2403/klagomålsmail/A 60688-2022 FSC-klagomål mail.docx", "A 60688-2022")</f>
        <v/>
      </c>
      <c r="X942">
        <f>HYPERLINK("https://klasma.github.io/Logging_2403/tillsyn/A 60688-2022 tillsynsbegäran.docx", "A 60688-2022")</f>
        <v/>
      </c>
      <c r="Y942">
        <f>HYPERLINK("https://klasma.github.io/Logging_2403/tillsynsmail/A 60688-2022 tillsynsbegäran mail.docx", "A 60688-2022")</f>
        <v/>
      </c>
    </row>
    <row r="943" ht="15" customHeight="1">
      <c r="A943" t="inlineStr">
        <is>
          <t>A 469-2023</t>
        </is>
      </c>
      <c r="B943" s="1" t="n">
        <v>44929</v>
      </c>
      <c r="C943" s="1" t="n">
        <v>45792</v>
      </c>
      <c r="D943" t="inlineStr">
        <is>
          <t>VÄSTERBOTTENS LÄN</t>
        </is>
      </c>
      <c r="E943" t="inlineStr">
        <is>
          <t>ROBERTSFORS</t>
        </is>
      </c>
      <c r="G943" t="n">
        <v>13.8</v>
      </c>
      <c r="H943" t="n">
        <v>0</v>
      </c>
      <c r="I943" t="n">
        <v>0</v>
      </c>
      <c r="J943" t="n">
        <v>2</v>
      </c>
      <c r="K943" t="n">
        <v>0</v>
      </c>
      <c r="L943" t="n">
        <v>0</v>
      </c>
      <c r="M943" t="n">
        <v>0</v>
      </c>
      <c r="N943" t="n">
        <v>0</v>
      </c>
      <c r="O943" t="n">
        <v>2</v>
      </c>
      <c r="P943" t="n">
        <v>0</v>
      </c>
      <c r="Q943" t="n">
        <v>2</v>
      </c>
      <c r="R943" s="2" t="inlineStr">
        <is>
          <t>Gammelgransskål
Garnlav</t>
        </is>
      </c>
      <c r="S943">
        <f>HYPERLINK("https://klasma.github.io/Logging_2409/artfynd/A 469-2023 artfynd.xlsx", "A 469-2023")</f>
        <v/>
      </c>
      <c r="T943">
        <f>HYPERLINK("https://klasma.github.io/Logging_2409/kartor/A 469-2023 karta.png", "A 469-2023")</f>
        <v/>
      </c>
      <c r="V943">
        <f>HYPERLINK("https://klasma.github.io/Logging_2409/klagomål/A 469-2023 FSC-klagomål.docx", "A 469-2023")</f>
        <v/>
      </c>
      <c r="W943">
        <f>HYPERLINK("https://klasma.github.io/Logging_2409/klagomålsmail/A 469-2023 FSC-klagomål mail.docx", "A 469-2023")</f>
        <v/>
      </c>
      <c r="X943">
        <f>HYPERLINK("https://klasma.github.io/Logging_2409/tillsyn/A 469-2023 tillsynsbegäran.docx", "A 469-2023")</f>
        <v/>
      </c>
      <c r="Y943">
        <f>HYPERLINK("https://klasma.github.io/Logging_2409/tillsynsmail/A 469-2023 tillsynsbegäran mail.docx", "A 469-2023")</f>
        <v/>
      </c>
    </row>
    <row r="944" ht="15" customHeight="1">
      <c r="A944" t="inlineStr">
        <is>
          <t>A 787-2023</t>
        </is>
      </c>
      <c r="B944" s="1" t="n">
        <v>44931</v>
      </c>
      <c r="C944" s="1" t="n">
        <v>45792</v>
      </c>
      <c r="D944" t="inlineStr">
        <is>
          <t>VÄSTERBOTTENS LÄN</t>
        </is>
      </c>
      <c r="E944" t="inlineStr">
        <is>
          <t>SKELLEFTEÅ</t>
        </is>
      </c>
      <c r="G944" t="n">
        <v>13.9</v>
      </c>
      <c r="H944" t="n">
        <v>0</v>
      </c>
      <c r="I944" t="n">
        <v>1</v>
      </c>
      <c r="J944" t="n">
        <v>1</v>
      </c>
      <c r="K944" t="n">
        <v>0</v>
      </c>
      <c r="L944" t="n">
        <v>0</v>
      </c>
      <c r="M944" t="n">
        <v>0</v>
      </c>
      <c r="N944" t="n">
        <v>0</v>
      </c>
      <c r="O944" t="n">
        <v>1</v>
      </c>
      <c r="P944" t="n">
        <v>0</v>
      </c>
      <c r="Q944" t="n">
        <v>2</v>
      </c>
      <c r="R944" s="2" t="inlineStr">
        <is>
          <t>Storgröe
Ögonpyrola</t>
        </is>
      </c>
      <c r="S944">
        <f>HYPERLINK("https://klasma.github.io/Logging_2482/artfynd/A 787-2023 artfynd.xlsx", "A 787-2023")</f>
        <v/>
      </c>
      <c r="T944">
        <f>HYPERLINK("https://klasma.github.io/Logging_2482/kartor/A 787-2023 karta.png", "A 787-2023")</f>
        <v/>
      </c>
      <c r="V944">
        <f>HYPERLINK("https://klasma.github.io/Logging_2482/klagomål/A 787-2023 FSC-klagomål.docx", "A 787-2023")</f>
        <v/>
      </c>
      <c r="W944">
        <f>HYPERLINK("https://klasma.github.io/Logging_2482/klagomålsmail/A 787-2023 FSC-klagomål mail.docx", "A 787-2023")</f>
        <v/>
      </c>
      <c r="X944">
        <f>HYPERLINK("https://klasma.github.io/Logging_2482/tillsyn/A 787-2023 tillsynsbegäran.docx", "A 787-2023")</f>
        <v/>
      </c>
      <c r="Y944">
        <f>HYPERLINK("https://klasma.github.io/Logging_2482/tillsynsmail/A 787-2023 tillsynsbegäran mail.docx", "A 787-2023")</f>
        <v/>
      </c>
    </row>
    <row r="945" ht="15" customHeight="1">
      <c r="A945" t="inlineStr">
        <is>
          <t>A 901-2023</t>
        </is>
      </c>
      <c r="B945" s="1" t="n">
        <v>44931</v>
      </c>
      <c r="C945" s="1" t="n">
        <v>45792</v>
      </c>
      <c r="D945" t="inlineStr">
        <is>
          <t>VÄSTERBOTTENS LÄN</t>
        </is>
      </c>
      <c r="E945" t="inlineStr">
        <is>
          <t>SKELLEFTEÅ</t>
        </is>
      </c>
      <c r="G945" t="n">
        <v>7.7</v>
      </c>
      <c r="H945" t="n">
        <v>0</v>
      </c>
      <c r="I945" t="n">
        <v>0</v>
      </c>
      <c r="J945" t="n">
        <v>2</v>
      </c>
      <c r="K945" t="n">
        <v>0</v>
      </c>
      <c r="L945" t="n">
        <v>0</v>
      </c>
      <c r="M945" t="n">
        <v>0</v>
      </c>
      <c r="N945" t="n">
        <v>0</v>
      </c>
      <c r="O945" t="n">
        <v>2</v>
      </c>
      <c r="P945" t="n">
        <v>0</v>
      </c>
      <c r="Q945" t="n">
        <v>2</v>
      </c>
      <c r="R945" s="2" t="inlineStr">
        <is>
          <t>Garnlav
Skogshare</t>
        </is>
      </c>
      <c r="S945">
        <f>HYPERLINK("https://klasma.github.io/Logging_2482/artfynd/A 901-2023 artfynd.xlsx", "A 901-2023")</f>
        <v/>
      </c>
      <c r="T945">
        <f>HYPERLINK("https://klasma.github.io/Logging_2482/kartor/A 901-2023 karta.png", "A 901-2023")</f>
        <v/>
      </c>
      <c r="V945">
        <f>HYPERLINK("https://klasma.github.io/Logging_2482/klagomål/A 901-2023 FSC-klagomål.docx", "A 901-2023")</f>
        <v/>
      </c>
      <c r="W945">
        <f>HYPERLINK("https://klasma.github.io/Logging_2482/klagomålsmail/A 901-2023 FSC-klagomål mail.docx", "A 901-2023")</f>
        <v/>
      </c>
      <c r="X945">
        <f>HYPERLINK("https://klasma.github.io/Logging_2482/tillsyn/A 901-2023 tillsynsbegäran.docx", "A 901-2023")</f>
        <v/>
      </c>
      <c r="Y945">
        <f>HYPERLINK("https://klasma.github.io/Logging_2482/tillsynsmail/A 901-2023 tillsynsbegäran mail.docx", "A 901-2023")</f>
        <v/>
      </c>
    </row>
    <row r="946" ht="15" customHeight="1">
      <c r="A946" t="inlineStr">
        <is>
          <t>A 2893-2023</t>
        </is>
      </c>
      <c r="B946" s="1" t="n">
        <v>44945</v>
      </c>
      <c r="C946" s="1" t="n">
        <v>45792</v>
      </c>
      <c r="D946" t="inlineStr">
        <is>
          <t>VÄSTERBOTTENS LÄN</t>
        </is>
      </c>
      <c r="E946" t="inlineStr">
        <is>
          <t>LYCKSELE</t>
        </is>
      </c>
      <c r="F946" t="inlineStr">
        <is>
          <t>Kyrkan</t>
        </is>
      </c>
      <c r="G946" t="n">
        <v>3.5</v>
      </c>
      <c r="H946" t="n">
        <v>0</v>
      </c>
      <c r="I946" t="n">
        <v>1</v>
      </c>
      <c r="J946" t="n">
        <v>1</v>
      </c>
      <c r="K946" t="n">
        <v>0</v>
      </c>
      <c r="L946" t="n">
        <v>0</v>
      </c>
      <c r="M946" t="n">
        <v>0</v>
      </c>
      <c r="N946" t="n">
        <v>0</v>
      </c>
      <c r="O946" t="n">
        <v>1</v>
      </c>
      <c r="P946" t="n">
        <v>0</v>
      </c>
      <c r="Q946" t="n">
        <v>2</v>
      </c>
      <c r="R946" s="2" t="inlineStr">
        <is>
          <t>Garnlav
Dropptaggsvamp</t>
        </is>
      </c>
      <c r="S946">
        <f>HYPERLINK("https://klasma.github.io/Logging_2481/artfynd/A 2893-2023 artfynd.xlsx", "A 2893-2023")</f>
        <v/>
      </c>
      <c r="T946">
        <f>HYPERLINK("https://klasma.github.io/Logging_2481/kartor/A 2893-2023 karta.png", "A 2893-2023")</f>
        <v/>
      </c>
      <c r="V946">
        <f>HYPERLINK("https://klasma.github.io/Logging_2481/klagomål/A 2893-2023 FSC-klagomål.docx", "A 2893-2023")</f>
        <v/>
      </c>
      <c r="W946">
        <f>HYPERLINK("https://klasma.github.io/Logging_2481/klagomålsmail/A 2893-2023 FSC-klagomål mail.docx", "A 2893-2023")</f>
        <v/>
      </c>
      <c r="X946">
        <f>HYPERLINK("https://klasma.github.io/Logging_2481/tillsyn/A 2893-2023 tillsynsbegäran.docx", "A 2893-2023")</f>
        <v/>
      </c>
      <c r="Y946">
        <f>HYPERLINK("https://klasma.github.io/Logging_2481/tillsynsmail/A 2893-2023 tillsynsbegäran mail.docx", "A 2893-2023")</f>
        <v/>
      </c>
    </row>
    <row r="947" ht="15" customHeight="1">
      <c r="A947" t="inlineStr">
        <is>
          <t>A 3896-2023</t>
        </is>
      </c>
      <c r="B947" s="1" t="n">
        <v>44951</v>
      </c>
      <c r="C947" s="1" t="n">
        <v>45792</v>
      </c>
      <c r="D947" t="inlineStr">
        <is>
          <t>VÄSTERBOTTENS LÄN</t>
        </is>
      </c>
      <c r="E947" t="inlineStr">
        <is>
          <t>ÅSELE</t>
        </is>
      </c>
      <c r="F947" t="inlineStr">
        <is>
          <t>SCA</t>
        </is>
      </c>
      <c r="G947" t="n">
        <v>8</v>
      </c>
      <c r="H947" t="n">
        <v>0</v>
      </c>
      <c r="I947" t="n">
        <v>0</v>
      </c>
      <c r="J947" t="n">
        <v>2</v>
      </c>
      <c r="K947" t="n">
        <v>0</v>
      </c>
      <c r="L947" t="n">
        <v>0</v>
      </c>
      <c r="M947" t="n">
        <v>0</v>
      </c>
      <c r="N947" t="n">
        <v>0</v>
      </c>
      <c r="O947" t="n">
        <v>2</v>
      </c>
      <c r="P947" t="n">
        <v>0</v>
      </c>
      <c r="Q947" t="n">
        <v>2</v>
      </c>
      <c r="R947" s="2" t="inlineStr">
        <is>
          <t>Garnlav
Vedskivlav</t>
        </is>
      </c>
      <c r="S947">
        <f>HYPERLINK("https://klasma.github.io/Logging_2463/artfynd/A 3896-2023 artfynd.xlsx", "A 3896-2023")</f>
        <v/>
      </c>
      <c r="T947">
        <f>HYPERLINK("https://klasma.github.io/Logging_2463/kartor/A 3896-2023 karta.png", "A 3896-2023")</f>
        <v/>
      </c>
      <c r="V947">
        <f>HYPERLINK("https://klasma.github.io/Logging_2463/klagomål/A 3896-2023 FSC-klagomål.docx", "A 3896-2023")</f>
        <v/>
      </c>
      <c r="W947">
        <f>HYPERLINK("https://klasma.github.io/Logging_2463/klagomålsmail/A 3896-2023 FSC-klagomål mail.docx", "A 3896-2023")</f>
        <v/>
      </c>
      <c r="X947">
        <f>HYPERLINK("https://klasma.github.io/Logging_2463/tillsyn/A 3896-2023 tillsynsbegäran.docx", "A 3896-2023")</f>
        <v/>
      </c>
      <c r="Y947">
        <f>HYPERLINK("https://klasma.github.io/Logging_2463/tillsynsmail/A 3896-2023 tillsynsbegäran mail.docx", "A 3896-2023")</f>
        <v/>
      </c>
    </row>
    <row r="948" ht="15" customHeight="1">
      <c r="A948" t="inlineStr">
        <is>
          <t>A 3893-2023</t>
        </is>
      </c>
      <c r="B948" s="1" t="n">
        <v>44951</v>
      </c>
      <c r="C948" s="1" t="n">
        <v>45792</v>
      </c>
      <c r="D948" t="inlineStr">
        <is>
          <t>VÄSTERBOTTENS LÄN</t>
        </is>
      </c>
      <c r="E948" t="inlineStr">
        <is>
          <t>STORUMAN</t>
        </is>
      </c>
      <c r="F948" t="inlineStr">
        <is>
          <t>SCA</t>
        </is>
      </c>
      <c r="G948" t="n">
        <v>2.1</v>
      </c>
      <c r="H948" t="n">
        <v>0</v>
      </c>
      <c r="I948" t="n">
        <v>1</v>
      </c>
      <c r="J948" t="n">
        <v>1</v>
      </c>
      <c r="K948" t="n">
        <v>0</v>
      </c>
      <c r="L948" t="n">
        <v>0</v>
      </c>
      <c r="M948" t="n">
        <v>0</v>
      </c>
      <c r="N948" t="n">
        <v>0</v>
      </c>
      <c r="O948" t="n">
        <v>1</v>
      </c>
      <c r="P948" t="n">
        <v>0</v>
      </c>
      <c r="Q948" t="n">
        <v>2</v>
      </c>
      <c r="R948" s="2" t="inlineStr">
        <is>
          <t>Talltaggsvamp
Skarp dropptaggsvamp</t>
        </is>
      </c>
      <c r="S948">
        <f>HYPERLINK("https://klasma.github.io/Logging_2421/artfynd/A 3893-2023 artfynd.xlsx", "A 3893-2023")</f>
        <v/>
      </c>
      <c r="T948">
        <f>HYPERLINK("https://klasma.github.io/Logging_2421/kartor/A 3893-2023 karta.png", "A 3893-2023")</f>
        <v/>
      </c>
      <c r="V948">
        <f>HYPERLINK("https://klasma.github.io/Logging_2421/klagomål/A 3893-2023 FSC-klagomål.docx", "A 3893-2023")</f>
        <v/>
      </c>
      <c r="W948">
        <f>HYPERLINK("https://klasma.github.io/Logging_2421/klagomålsmail/A 3893-2023 FSC-klagomål mail.docx", "A 3893-2023")</f>
        <v/>
      </c>
      <c r="X948">
        <f>HYPERLINK("https://klasma.github.io/Logging_2421/tillsyn/A 3893-2023 tillsynsbegäran.docx", "A 3893-2023")</f>
        <v/>
      </c>
      <c r="Y948">
        <f>HYPERLINK("https://klasma.github.io/Logging_2421/tillsynsmail/A 3893-2023 tillsynsbegäran mail.docx", "A 3893-2023")</f>
        <v/>
      </c>
    </row>
    <row r="949" ht="15" customHeight="1">
      <c r="A949" t="inlineStr">
        <is>
          <t>A 5450-2023</t>
        </is>
      </c>
      <c r="B949" s="1" t="n">
        <v>44959</v>
      </c>
      <c r="C949" s="1" t="n">
        <v>45792</v>
      </c>
      <c r="D949" t="inlineStr">
        <is>
          <t>VÄSTERBOTTENS LÄN</t>
        </is>
      </c>
      <c r="E949" t="inlineStr">
        <is>
          <t>STORUMAN</t>
        </is>
      </c>
      <c r="F949" t="inlineStr">
        <is>
          <t>SCA</t>
        </is>
      </c>
      <c r="G949" t="n">
        <v>8.4</v>
      </c>
      <c r="H949" t="n">
        <v>2</v>
      </c>
      <c r="I949" t="n">
        <v>0</v>
      </c>
      <c r="J949" t="n">
        <v>1</v>
      </c>
      <c r="K949" t="n">
        <v>1</v>
      </c>
      <c r="L949" t="n">
        <v>0</v>
      </c>
      <c r="M949" t="n">
        <v>0</v>
      </c>
      <c r="N949" t="n">
        <v>0</v>
      </c>
      <c r="O949" t="n">
        <v>2</v>
      </c>
      <c r="P949" t="n">
        <v>1</v>
      </c>
      <c r="Q949" t="n">
        <v>2</v>
      </c>
      <c r="R949" s="2" t="inlineStr">
        <is>
          <t>Knärot
Tretåig hackspett</t>
        </is>
      </c>
      <c r="S949">
        <f>HYPERLINK("https://klasma.github.io/Logging_2421/artfynd/A 5450-2023 artfynd.xlsx", "A 5450-2023")</f>
        <v/>
      </c>
      <c r="T949">
        <f>HYPERLINK("https://klasma.github.io/Logging_2421/kartor/A 5450-2023 karta.png", "A 5450-2023")</f>
        <v/>
      </c>
      <c r="U949">
        <f>HYPERLINK("https://klasma.github.io/Logging_2421/knärot/A 5450-2023 karta knärot.png", "A 5450-2023")</f>
        <v/>
      </c>
      <c r="V949">
        <f>HYPERLINK("https://klasma.github.io/Logging_2421/klagomål/A 5450-2023 FSC-klagomål.docx", "A 5450-2023")</f>
        <v/>
      </c>
      <c r="W949">
        <f>HYPERLINK("https://klasma.github.io/Logging_2421/klagomålsmail/A 5450-2023 FSC-klagomål mail.docx", "A 5450-2023")</f>
        <v/>
      </c>
      <c r="X949">
        <f>HYPERLINK("https://klasma.github.io/Logging_2421/tillsyn/A 5450-2023 tillsynsbegäran.docx", "A 5450-2023")</f>
        <v/>
      </c>
      <c r="Y949">
        <f>HYPERLINK("https://klasma.github.io/Logging_2421/tillsynsmail/A 5450-2023 tillsynsbegäran mail.docx", "A 5450-2023")</f>
        <v/>
      </c>
      <c r="Z949">
        <f>HYPERLINK("https://klasma.github.io/Logging_2421/fåglar/A 5450-2023 prioriterade fågelarter.docx", "A 5450-2023")</f>
        <v/>
      </c>
    </row>
    <row r="950" ht="15" customHeight="1">
      <c r="A950" t="inlineStr">
        <is>
          <t>A 6002-2023</t>
        </is>
      </c>
      <c r="B950" s="1" t="n">
        <v>44964</v>
      </c>
      <c r="C950" s="1" t="n">
        <v>45792</v>
      </c>
      <c r="D950" t="inlineStr">
        <is>
          <t>VÄSTERBOTTENS LÄN</t>
        </is>
      </c>
      <c r="E950" t="inlineStr">
        <is>
          <t>LYCKSELE</t>
        </is>
      </c>
      <c r="F950" t="inlineStr">
        <is>
          <t>Kyrkan</t>
        </is>
      </c>
      <c r="G950" t="n">
        <v>15.7</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HYPERLINK("https://klasma.github.io/Logging_2481/artfynd/A 6002-2023 artfynd.xlsx", "A 6002-2023")</f>
        <v/>
      </c>
      <c r="T950">
        <f>HYPERLINK("https://klasma.github.io/Logging_2481/kartor/A 6002-2023 karta.png", "A 6002-2023")</f>
        <v/>
      </c>
      <c r="V950">
        <f>HYPERLINK("https://klasma.github.io/Logging_2481/klagomål/A 6002-2023 FSC-klagomål.docx", "A 6002-2023")</f>
        <v/>
      </c>
      <c r="W950">
        <f>HYPERLINK("https://klasma.github.io/Logging_2481/klagomålsmail/A 6002-2023 FSC-klagomål mail.docx", "A 6002-2023")</f>
        <v/>
      </c>
      <c r="X950">
        <f>HYPERLINK("https://klasma.github.io/Logging_2481/tillsyn/A 6002-2023 tillsynsbegäran.docx", "A 6002-2023")</f>
        <v/>
      </c>
      <c r="Y950">
        <f>HYPERLINK("https://klasma.github.io/Logging_2481/tillsynsmail/A 6002-2023 tillsynsbegäran mail.docx", "A 6002-2023")</f>
        <v/>
      </c>
    </row>
    <row r="951" ht="15" customHeight="1">
      <c r="A951" t="inlineStr">
        <is>
          <t>A 7670-2023</t>
        </is>
      </c>
      <c r="B951" s="1" t="n">
        <v>44972</v>
      </c>
      <c r="C951" s="1" t="n">
        <v>45792</v>
      </c>
      <c r="D951" t="inlineStr">
        <is>
          <t>VÄSTERBOTTENS LÄN</t>
        </is>
      </c>
      <c r="E951" t="inlineStr">
        <is>
          <t>LYCKSELE</t>
        </is>
      </c>
      <c r="F951" t="inlineStr">
        <is>
          <t>Sveaskog</t>
        </is>
      </c>
      <c r="G951" t="n">
        <v>0.8</v>
      </c>
      <c r="H951" t="n">
        <v>0</v>
      </c>
      <c r="I951" t="n">
        <v>1</v>
      </c>
      <c r="J951" t="n">
        <v>1</v>
      </c>
      <c r="K951" t="n">
        <v>0</v>
      </c>
      <c r="L951" t="n">
        <v>0</v>
      </c>
      <c r="M951" t="n">
        <v>0</v>
      </c>
      <c r="N951" t="n">
        <v>0</v>
      </c>
      <c r="O951" t="n">
        <v>1</v>
      </c>
      <c r="P951" t="n">
        <v>0</v>
      </c>
      <c r="Q951" t="n">
        <v>2</v>
      </c>
      <c r="R951" s="2" t="inlineStr">
        <is>
          <t>Lunglav
Dropptaggsvamp</t>
        </is>
      </c>
      <c r="S951">
        <f>HYPERLINK("https://klasma.github.io/Logging_2481/artfynd/A 7670-2023 artfynd.xlsx", "A 7670-2023")</f>
        <v/>
      </c>
      <c r="T951">
        <f>HYPERLINK("https://klasma.github.io/Logging_2481/kartor/A 7670-2023 karta.png", "A 7670-2023")</f>
        <v/>
      </c>
      <c r="V951">
        <f>HYPERLINK("https://klasma.github.io/Logging_2481/klagomål/A 7670-2023 FSC-klagomål.docx", "A 7670-2023")</f>
        <v/>
      </c>
      <c r="W951">
        <f>HYPERLINK("https://klasma.github.io/Logging_2481/klagomålsmail/A 7670-2023 FSC-klagomål mail.docx", "A 7670-2023")</f>
        <v/>
      </c>
      <c r="X951">
        <f>HYPERLINK("https://klasma.github.io/Logging_2481/tillsyn/A 7670-2023 tillsynsbegäran.docx", "A 7670-2023")</f>
        <v/>
      </c>
      <c r="Y951">
        <f>HYPERLINK("https://klasma.github.io/Logging_2481/tillsynsmail/A 7670-2023 tillsynsbegäran mail.docx", "A 7670-2023")</f>
        <v/>
      </c>
    </row>
    <row r="952" ht="15" customHeight="1">
      <c r="A952" t="inlineStr">
        <is>
          <t>A 10292-2023</t>
        </is>
      </c>
      <c r="B952" s="1" t="n">
        <v>44986</v>
      </c>
      <c r="C952" s="1" t="n">
        <v>45792</v>
      </c>
      <c r="D952" t="inlineStr">
        <is>
          <t>VÄSTERBOTTENS LÄN</t>
        </is>
      </c>
      <c r="E952" t="inlineStr">
        <is>
          <t>ÅSELE</t>
        </is>
      </c>
      <c r="F952" t="inlineStr">
        <is>
          <t>SCA</t>
        </is>
      </c>
      <c r="G952" t="n">
        <v>22.4</v>
      </c>
      <c r="H952" t="n">
        <v>0</v>
      </c>
      <c r="I952" t="n">
        <v>0</v>
      </c>
      <c r="J952" t="n">
        <v>2</v>
      </c>
      <c r="K952" t="n">
        <v>0</v>
      </c>
      <c r="L952" t="n">
        <v>0</v>
      </c>
      <c r="M952" t="n">
        <v>0</v>
      </c>
      <c r="N952" t="n">
        <v>0</v>
      </c>
      <c r="O952" t="n">
        <v>2</v>
      </c>
      <c r="P952" t="n">
        <v>0</v>
      </c>
      <c r="Q952" t="n">
        <v>2</v>
      </c>
      <c r="R952" s="2" t="inlineStr">
        <is>
          <t>Granticka
Lunglav</t>
        </is>
      </c>
      <c r="S952">
        <f>HYPERLINK("https://klasma.github.io/Logging_2463/artfynd/A 10292-2023 artfynd.xlsx", "A 10292-2023")</f>
        <v/>
      </c>
      <c r="T952">
        <f>HYPERLINK("https://klasma.github.io/Logging_2463/kartor/A 10292-2023 karta.png", "A 10292-2023")</f>
        <v/>
      </c>
      <c r="V952">
        <f>HYPERLINK("https://klasma.github.io/Logging_2463/klagomål/A 10292-2023 FSC-klagomål.docx", "A 10292-2023")</f>
        <v/>
      </c>
      <c r="W952">
        <f>HYPERLINK("https://klasma.github.io/Logging_2463/klagomålsmail/A 10292-2023 FSC-klagomål mail.docx", "A 10292-2023")</f>
        <v/>
      </c>
      <c r="X952">
        <f>HYPERLINK("https://klasma.github.io/Logging_2463/tillsyn/A 10292-2023 tillsynsbegäran.docx", "A 10292-2023")</f>
        <v/>
      </c>
      <c r="Y952">
        <f>HYPERLINK("https://klasma.github.io/Logging_2463/tillsynsmail/A 10292-2023 tillsynsbegäran mail.docx", "A 10292-2023")</f>
        <v/>
      </c>
    </row>
    <row r="953" ht="15" customHeight="1">
      <c r="A953" t="inlineStr">
        <is>
          <t>A 10546-2023</t>
        </is>
      </c>
      <c r="B953" s="1" t="n">
        <v>44987</v>
      </c>
      <c r="C953" s="1" t="n">
        <v>45792</v>
      </c>
      <c r="D953" t="inlineStr">
        <is>
          <t>VÄSTERBOTTENS LÄN</t>
        </is>
      </c>
      <c r="E953" t="inlineStr">
        <is>
          <t>ÅSELE</t>
        </is>
      </c>
      <c r="F953" t="inlineStr">
        <is>
          <t>SCA</t>
        </is>
      </c>
      <c r="G953" t="n">
        <v>11.5</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10546-2023 artfynd.xlsx", "A 10546-2023")</f>
        <v/>
      </c>
      <c r="T953">
        <f>HYPERLINK("https://klasma.github.io/Logging_2463/kartor/A 10546-2023 karta.png", "A 10546-2023")</f>
        <v/>
      </c>
      <c r="V953">
        <f>HYPERLINK("https://klasma.github.io/Logging_2463/klagomål/A 10546-2023 FSC-klagomål.docx", "A 10546-2023")</f>
        <v/>
      </c>
      <c r="W953">
        <f>HYPERLINK("https://klasma.github.io/Logging_2463/klagomålsmail/A 10546-2023 FSC-klagomål mail.docx", "A 10546-2023")</f>
        <v/>
      </c>
      <c r="X953">
        <f>HYPERLINK("https://klasma.github.io/Logging_2463/tillsyn/A 10546-2023 tillsynsbegäran.docx", "A 10546-2023")</f>
        <v/>
      </c>
      <c r="Y953">
        <f>HYPERLINK("https://klasma.github.io/Logging_2463/tillsynsmail/A 10546-2023 tillsynsbegäran mail.docx", "A 10546-2023")</f>
        <v/>
      </c>
    </row>
    <row r="954" ht="15" customHeight="1">
      <c r="A954" t="inlineStr">
        <is>
          <t>A 11627-2023</t>
        </is>
      </c>
      <c r="B954" s="1" t="n">
        <v>44994</v>
      </c>
      <c r="C954" s="1" t="n">
        <v>45792</v>
      </c>
      <c r="D954" t="inlineStr">
        <is>
          <t>VÄSTERBOTTENS LÄN</t>
        </is>
      </c>
      <c r="E954" t="inlineStr">
        <is>
          <t>SKELLEFTEÅ</t>
        </is>
      </c>
      <c r="G954" t="n">
        <v>16.6</v>
      </c>
      <c r="H954" t="n">
        <v>1</v>
      </c>
      <c r="I954" t="n">
        <v>1</v>
      </c>
      <c r="J954" t="n">
        <v>0</v>
      </c>
      <c r="K954" t="n">
        <v>0</v>
      </c>
      <c r="L954" t="n">
        <v>0</v>
      </c>
      <c r="M954" t="n">
        <v>0</v>
      </c>
      <c r="N954" t="n">
        <v>0</v>
      </c>
      <c r="O954" t="n">
        <v>0</v>
      </c>
      <c r="P954" t="n">
        <v>0</v>
      </c>
      <c r="Q954" t="n">
        <v>2</v>
      </c>
      <c r="R954" s="2" t="inlineStr">
        <is>
          <t>Norrlandslav
Revlummer</t>
        </is>
      </c>
      <c r="S954">
        <f>HYPERLINK("https://klasma.github.io/Logging_2482/artfynd/A 11627-2023 artfynd.xlsx", "A 11627-2023")</f>
        <v/>
      </c>
      <c r="T954">
        <f>HYPERLINK("https://klasma.github.io/Logging_2482/kartor/A 11627-2023 karta.png", "A 11627-2023")</f>
        <v/>
      </c>
      <c r="V954">
        <f>HYPERLINK("https://klasma.github.io/Logging_2482/klagomål/A 11627-2023 FSC-klagomål.docx", "A 11627-2023")</f>
        <v/>
      </c>
      <c r="W954">
        <f>HYPERLINK("https://klasma.github.io/Logging_2482/klagomålsmail/A 11627-2023 FSC-klagomål mail.docx", "A 11627-2023")</f>
        <v/>
      </c>
      <c r="X954">
        <f>HYPERLINK("https://klasma.github.io/Logging_2482/tillsyn/A 11627-2023 tillsynsbegäran.docx", "A 11627-2023")</f>
        <v/>
      </c>
      <c r="Y954">
        <f>HYPERLINK("https://klasma.github.io/Logging_2482/tillsynsmail/A 11627-2023 tillsynsbegäran mail.docx", "A 11627-2023")</f>
        <v/>
      </c>
    </row>
    <row r="955" ht="15" customHeight="1">
      <c r="A955" t="inlineStr">
        <is>
          <t>A 15081-2023</t>
        </is>
      </c>
      <c r="B955" s="1" t="n">
        <v>45016</v>
      </c>
      <c r="C955" s="1" t="n">
        <v>45792</v>
      </c>
      <c r="D955" t="inlineStr">
        <is>
          <t>VÄSTERBOTTENS LÄN</t>
        </is>
      </c>
      <c r="E955" t="inlineStr">
        <is>
          <t>ÅSELE</t>
        </is>
      </c>
      <c r="F955" t="inlineStr">
        <is>
          <t>SCA</t>
        </is>
      </c>
      <c r="G955" t="n">
        <v>6.4</v>
      </c>
      <c r="H955" t="n">
        <v>0</v>
      </c>
      <c r="I955" t="n">
        <v>0</v>
      </c>
      <c r="J955" t="n">
        <v>2</v>
      </c>
      <c r="K955" t="n">
        <v>0</v>
      </c>
      <c r="L955" t="n">
        <v>0</v>
      </c>
      <c r="M955" t="n">
        <v>0</v>
      </c>
      <c r="N955" t="n">
        <v>0</v>
      </c>
      <c r="O955" t="n">
        <v>2</v>
      </c>
      <c r="P955" t="n">
        <v>0</v>
      </c>
      <c r="Q955" t="n">
        <v>2</v>
      </c>
      <c r="R955" s="2" t="inlineStr">
        <is>
          <t>Gränsticka
Koralltaggsvamp</t>
        </is>
      </c>
      <c r="S955">
        <f>HYPERLINK("https://klasma.github.io/Logging_2463/artfynd/A 15081-2023 artfynd.xlsx", "A 15081-2023")</f>
        <v/>
      </c>
      <c r="T955">
        <f>HYPERLINK("https://klasma.github.io/Logging_2463/kartor/A 15081-2023 karta.png", "A 15081-2023")</f>
        <v/>
      </c>
      <c r="V955">
        <f>HYPERLINK("https://klasma.github.io/Logging_2463/klagomål/A 15081-2023 FSC-klagomål.docx", "A 15081-2023")</f>
        <v/>
      </c>
      <c r="W955">
        <f>HYPERLINK("https://klasma.github.io/Logging_2463/klagomålsmail/A 15081-2023 FSC-klagomål mail.docx", "A 15081-2023")</f>
        <v/>
      </c>
      <c r="X955">
        <f>HYPERLINK("https://klasma.github.io/Logging_2463/tillsyn/A 15081-2023 tillsynsbegäran.docx", "A 15081-2023")</f>
        <v/>
      </c>
      <c r="Y955">
        <f>HYPERLINK("https://klasma.github.io/Logging_2463/tillsynsmail/A 15081-2023 tillsynsbegäran mail.docx", "A 15081-2023")</f>
        <v/>
      </c>
    </row>
    <row r="956" ht="15" customHeight="1">
      <c r="A956" t="inlineStr">
        <is>
          <t>A 15197-2023</t>
        </is>
      </c>
      <c r="B956" s="1" t="n">
        <v>45016</v>
      </c>
      <c r="C956" s="1" t="n">
        <v>45792</v>
      </c>
      <c r="D956" t="inlineStr">
        <is>
          <t>VÄSTERBOTTENS LÄN</t>
        </is>
      </c>
      <c r="E956" t="inlineStr">
        <is>
          <t>LYCKSELE</t>
        </is>
      </c>
      <c r="G956" t="n">
        <v>11.2</v>
      </c>
      <c r="H956" t="n">
        <v>0</v>
      </c>
      <c r="I956" t="n">
        <v>1</v>
      </c>
      <c r="J956" t="n">
        <v>1</v>
      </c>
      <c r="K956" t="n">
        <v>0</v>
      </c>
      <c r="L956" t="n">
        <v>0</v>
      </c>
      <c r="M956" t="n">
        <v>0</v>
      </c>
      <c r="N956" t="n">
        <v>0</v>
      </c>
      <c r="O956" t="n">
        <v>1</v>
      </c>
      <c r="P956" t="n">
        <v>0</v>
      </c>
      <c r="Q956" t="n">
        <v>2</v>
      </c>
      <c r="R956" s="2" t="inlineStr">
        <is>
          <t>Vaddporing
Dropptaggsvamp</t>
        </is>
      </c>
      <c r="S956">
        <f>HYPERLINK("https://klasma.github.io/Logging_2481/artfynd/A 15197-2023 artfynd.xlsx", "A 15197-2023")</f>
        <v/>
      </c>
      <c r="T956">
        <f>HYPERLINK("https://klasma.github.io/Logging_2481/kartor/A 15197-2023 karta.png", "A 15197-2023")</f>
        <v/>
      </c>
      <c r="V956">
        <f>HYPERLINK("https://klasma.github.io/Logging_2481/klagomål/A 15197-2023 FSC-klagomål.docx", "A 15197-2023")</f>
        <v/>
      </c>
      <c r="W956">
        <f>HYPERLINK("https://klasma.github.io/Logging_2481/klagomålsmail/A 15197-2023 FSC-klagomål mail.docx", "A 15197-2023")</f>
        <v/>
      </c>
      <c r="X956">
        <f>HYPERLINK("https://klasma.github.io/Logging_2481/tillsyn/A 15197-2023 tillsynsbegäran.docx", "A 15197-2023")</f>
        <v/>
      </c>
      <c r="Y956">
        <f>HYPERLINK("https://klasma.github.io/Logging_2481/tillsynsmail/A 15197-2023 tillsynsbegäran mail.docx", "A 15197-2023")</f>
        <v/>
      </c>
    </row>
    <row r="957" ht="15" customHeight="1">
      <c r="A957" t="inlineStr">
        <is>
          <t>A 18922-2023</t>
        </is>
      </c>
      <c r="B957" s="1" t="n">
        <v>45043</v>
      </c>
      <c r="C957" s="1" t="n">
        <v>45792</v>
      </c>
      <c r="D957" t="inlineStr">
        <is>
          <t>VÄSTERBOTTENS LÄN</t>
        </is>
      </c>
      <c r="E957" t="inlineStr">
        <is>
          <t>UMEÅ</t>
        </is>
      </c>
      <c r="G957" t="n">
        <v>9.199999999999999</v>
      </c>
      <c r="H957" t="n">
        <v>0</v>
      </c>
      <c r="I957" t="n">
        <v>0</v>
      </c>
      <c r="J957" t="n">
        <v>2</v>
      </c>
      <c r="K957" t="n">
        <v>0</v>
      </c>
      <c r="L957" t="n">
        <v>0</v>
      </c>
      <c r="M957" t="n">
        <v>0</v>
      </c>
      <c r="N957" t="n">
        <v>0</v>
      </c>
      <c r="O957" t="n">
        <v>2</v>
      </c>
      <c r="P957" t="n">
        <v>0</v>
      </c>
      <c r="Q957" t="n">
        <v>2</v>
      </c>
      <c r="R957" s="2" t="inlineStr">
        <is>
          <t>Granticka
Ullticka</t>
        </is>
      </c>
      <c r="S957">
        <f>HYPERLINK("https://klasma.github.io/Logging_2480/artfynd/A 18922-2023 artfynd.xlsx", "A 18922-2023")</f>
        <v/>
      </c>
      <c r="T957">
        <f>HYPERLINK("https://klasma.github.io/Logging_2480/kartor/A 18922-2023 karta.png", "A 18922-2023")</f>
        <v/>
      </c>
      <c r="V957">
        <f>HYPERLINK("https://klasma.github.io/Logging_2480/klagomål/A 18922-2023 FSC-klagomål.docx", "A 18922-2023")</f>
        <v/>
      </c>
      <c r="W957">
        <f>HYPERLINK("https://klasma.github.io/Logging_2480/klagomålsmail/A 18922-2023 FSC-klagomål mail.docx", "A 18922-2023")</f>
        <v/>
      </c>
      <c r="X957">
        <f>HYPERLINK("https://klasma.github.io/Logging_2480/tillsyn/A 18922-2023 tillsynsbegäran.docx", "A 18922-2023")</f>
        <v/>
      </c>
      <c r="Y957">
        <f>HYPERLINK("https://klasma.github.io/Logging_2480/tillsynsmail/A 18922-2023 tillsynsbegäran mail.docx", "A 18922-2023")</f>
        <v/>
      </c>
    </row>
    <row r="958" ht="15" customHeight="1">
      <c r="A958" t="inlineStr">
        <is>
          <t>A 19726-2023</t>
        </is>
      </c>
      <c r="B958" s="1" t="n">
        <v>45051</v>
      </c>
      <c r="C958" s="1" t="n">
        <v>45792</v>
      </c>
      <c r="D958" t="inlineStr">
        <is>
          <t>VÄSTERBOTTENS LÄN</t>
        </is>
      </c>
      <c r="E958" t="inlineStr">
        <is>
          <t>NORSJÖ</t>
        </is>
      </c>
      <c r="G958" t="n">
        <v>14.4</v>
      </c>
      <c r="H958" t="n">
        <v>2</v>
      </c>
      <c r="I958" t="n">
        <v>0</v>
      </c>
      <c r="J958" t="n">
        <v>1</v>
      </c>
      <c r="K958" t="n">
        <v>1</v>
      </c>
      <c r="L958" t="n">
        <v>0</v>
      </c>
      <c r="M958" t="n">
        <v>0</v>
      </c>
      <c r="N958" t="n">
        <v>0</v>
      </c>
      <c r="O958" t="n">
        <v>2</v>
      </c>
      <c r="P958" t="n">
        <v>1</v>
      </c>
      <c r="Q958" t="n">
        <v>2</v>
      </c>
      <c r="R958" s="2" t="inlineStr">
        <is>
          <t>Tallbit
Talltita</t>
        </is>
      </c>
      <c r="S958">
        <f>HYPERLINK("https://klasma.github.io/Logging_2417/artfynd/A 19726-2023 artfynd.xlsx", "A 19726-2023")</f>
        <v/>
      </c>
      <c r="T958">
        <f>HYPERLINK("https://klasma.github.io/Logging_2417/kartor/A 19726-2023 karta.png", "A 19726-2023")</f>
        <v/>
      </c>
      <c r="V958">
        <f>HYPERLINK("https://klasma.github.io/Logging_2417/klagomål/A 19726-2023 FSC-klagomål.docx", "A 19726-2023")</f>
        <v/>
      </c>
      <c r="W958">
        <f>HYPERLINK("https://klasma.github.io/Logging_2417/klagomålsmail/A 19726-2023 FSC-klagomål mail.docx", "A 19726-2023")</f>
        <v/>
      </c>
      <c r="X958">
        <f>HYPERLINK("https://klasma.github.io/Logging_2417/tillsyn/A 19726-2023 tillsynsbegäran.docx", "A 19726-2023")</f>
        <v/>
      </c>
      <c r="Y958">
        <f>HYPERLINK("https://klasma.github.io/Logging_2417/tillsynsmail/A 19726-2023 tillsynsbegäran mail.docx", "A 19726-2023")</f>
        <v/>
      </c>
      <c r="Z958">
        <f>HYPERLINK("https://klasma.github.io/Logging_2417/fåglar/A 19726-2023 prioriterade fågelarter.docx", "A 19726-2023")</f>
        <v/>
      </c>
    </row>
    <row r="959" ht="15" customHeight="1">
      <c r="A959" t="inlineStr">
        <is>
          <t>A 24332-2023</t>
        </is>
      </c>
      <c r="B959" s="1" t="n">
        <v>45081</v>
      </c>
      <c r="C959" s="1" t="n">
        <v>45792</v>
      </c>
      <c r="D959" t="inlineStr">
        <is>
          <t>VÄSTERBOTTENS LÄN</t>
        </is>
      </c>
      <c r="E959" t="inlineStr">
        <is>
          <t>SORSELE</t>
        </is>
      </c>
      <c r="F959" t="inlineStr">
        <is>
          <t>Övriga statliga verk och myndigheter</t>
        </is>
      </c>
      <c r="G959" t="n">
        <v>211.8</v>
      </c>
      <c r="H959" t="n">
        <v>0</v>
      </c>
      <c r="I959" t="n">
        <v>0</v>
      </c>
      <c r="J959" t="n">
        <v>2</v>
      </c>
      <c r="K959" t="n">
        <v>0</v>
      </c>
      <c r="L959" t="n">
        <v>0</v>
      </c>
      <c r="M959" t="n">
        <v>0</v>
      </c>
      <c r="N959" t="n">
        <v>0</v>
      </c>
      <c r="O959" t="n">
        <v>2</v>
      </c>
      <c r="P959" t="n">
        <v>0</v>
      </c>
      <c r="Q959" t="n">
        <v>2</v>
      </c>
      <c r="R959" s="2" t="inlineStr">
        <is>
          <t>Granticka
Harticka</t>
        </is>
      </c>
      <c r="S959">
        <f>HYPERLINK("https://klasma.github.io/Logging_2422/artfynd/A 24332-2023 artfynd.xlsx", "A 24332-2023")</f>
        <v/>
      </c>
      <c r="T959">
        <f>HYPERLINK("https://klasma.github.io/Logging_2422/kartor/A 24332-2023 karta.png", "A 24332-2023")</f>
        <v/>
      </c>
      <c r="V959">
        <f>HYPERLINK("https://klasma.github.io/Logging_2422/klagomål/A 24332-2023 FSC-klagomål.docx", "A 24332-2023")</f>
        <v/>
      </c>
      <c r="W959">
        <f>HYPERLINK("https://klasma.github.io/Logging_2422/klagomålsmail/A 24332-2023 FSC-klagomål mail.docx", "A 24332-2023")</f>
        <v/>
      </c>
      <c r="X959">
        <f>HYPERLINK("https://klasma.github.io/Logging_2422/tillsyn/A 24332-2023 tillsynsbegäran.docx", "A 24332-2023")</f>
        <v/>
      </c>
      <c r="Y959">
        <f>HYPERLINK("https://klasma.github.io/Logging_2422/tillsynsmail/A 24332-2023 tillsynsbegäran mail.docx", "A 24332-2023")</f>
        <v/>
      </c>
    </row>
    <row r="960" ht="15" customHeight="1">
      <c r="A960" t="inlineStr">
        <is>
          <t>A 26029-2023</t>
        </is>
      </c>
      <c r="B960" s="1" t="n">
        <v>45091</v>
      </c>
      <c r="C960" s="1" t="n">
        <v>45792</v>
      </c>
      <c r="D960" t="inlineStr">
        <is>
          <t>VÄSTERBOTTENS LÄN</t>
        </is>
      </c>
      <c r="E960" t="inlineStr">
        <is>
          <t>ROBERTSFORS</t>
        </is>
      </c>
      <c r="G960" t="n">
        <v>3.9</v>
      </c>
      <c r="H960" t="n">
        <v>1</v>
      </c>
      <c r="I960" t="n">
        <v>0</v>
      </c>
      <c r="J960" t="n">
        <v>2</v>
      </c>
      <c r="K960" t="n">
        <v>0</v>
      </c>
      <c r="L960" t="n">
        <v>0</v>
      </c>
      <c r="M960" t="n">
        <v>0</v>
      </c>
      <c r="N960" t="n">
        <v>0</v>
      </c>
      <c r="O960" t="n">
        <v>2</v>
      </c>
      <c r="P960" t="n">
        <v>0</v>
      </c>
      <c r="Q960" t="n">
        <v>2</v>
      </c>
      <c r="R960" s="2" t="inlineStr">
        <is>
          <t>Granticka
Spillkråka</t>
        </is>
      </c>
      <c r="S960">
        <f>HYPERLINK("https://klasma.github.io/Logging_2409/artfynd/A 26029-2023 artfynd.xlsx", "A 26029-2023")</f>
        <v/>
      </c>
      <c r="T960">
        <f>HYPERLINK("https://klasma.github.io/Logging_2409/kartor/A 26029-2023 karta.png", "A 26029-2023")</f>
        <v/>
      </c>
      <c r="V960">
        <f>HYPERLINK("https://klasma.github.io/Logging_2409/klagomål/A 26029-2023 FSC-klagomål.docx", "A 26029-2023")</f>
        <v/>
      </c>
      <c r="W960">
        <f>HYPERLINK("https://klasma.github.io/Logging_2409/klagomålsmail/A 26029-2023 FSC-klagomål mail.docx", "A 26029-2023")</f>
        <v/>
      </c>
      <c r="X960">
        <f>HYPERLINK("https://klasma.github.io/Logging_2409/tillsyn/A 26029-2023 tillsynsbegäran.docx", "A 26029-2023")</f>
        <v/>
      </c>
      <c r="Y960">
        <f>HYPERLINK("https://klasma.github.io/Logging_2409/tillsynsmail/A 26029-2023 tillsynsbegäran mail.docx", "A 26029-2023")</f>
        <v/>
      </c>
      <c r="Z960">
        <f>HYPERLINK("https://klasma.github.io/Logging_2409/fåglar/A 26029-2023 prioriterade fågelarter.docx", "A 26029-2023")</f>
        <v/>
      </c>
    </row>
    <row r="961" ht="15" customHeight="1">
      <c r="A961" t="inlineStr">
        <is>
          <t>A 28013-2023</t>
        </is>
      </c>
      <c r="B961" s="1" t="n">
        <v>45098</v>
      </c>
      <c r="C961" s="1" t="n">
        <v>45792</v>
      </c>
      <c r="D961" t="inlineStr">
        <is>
          <t>VÄSTERBOTTENS LÄN</t>
        </is>
      </c>
      <c r="E961" t="inlineStr">
        <is>
          <t>VILHELMINA</t>
        </is>
      </c>
      <c r="F961" t="inlineStr">
        <is>
          <t>SCA</t>
        </is>
      </c>
      <c r="G961" t="n">
        <v>7.8</v>
      </c>
      <c r="H961" t="n">
        <v>0</v>
      </c>
      <c r="I961" t="n">
        <v>0</v>
      </c>
      <c r="J961" t="n">
        <v>1</v>
      </c>
      <c r="K961" t="n">
        <v>1</v>
      </c>
      <c r="L961" t="n">
        <v>0</v>
      </c>
      <c r="M961" t="n">
        <v>0</v>
      </c>
      <c r="N961" t="n">
        <v>0</v>
      </c>
      <c r="O961" t="n">
        <v>2</v>
      </c>
      <c r="P961" t="n">
        <v>1</v>
      </c>
      <c r="Q961" t="n">
        <v>2</v>
      </c>
      <c r="R961" s="2" t="inlineStr">
        <is>
          <t>Tajgaskinn
Granticka</t>
        </is>
      </c>
      <c r="S961">
        <f>HYPERLINK("https://klasma.github.io/Logging_2462/artfynd/A 28013-2023 artfynd.xlsx", "A 28013-2023")</f>
        <v/>
      </c>
      <c r="T961">
        <f>HYPERLINK("https://klasma.github.io/Logging_2462/kartor/A 28013-2023 karta.png", "A 28013-2023")</f>
        <v/>
      </c>
      <c r="V961">
        <f>HYPERLINK("https://klasma.github.io/Logging_2462/klagomål/A 28013-2023 FSC-klagomål.docx", "A 28013-2023")</f>
        <v/>
      </c>
      <c r="W961">
        <f>HYPERLINK("https://klasma.github.io/Logging_2462/klagomålsmail/A 28013-2023 FSC-klagomål mail.docx", "A 28013-2023")</f>
        <v/>
      </c>
      <c r="X961">
        <f>HYPERLINK("https://klasma.github.io/Logging_2462/tillsyn/A 28013-2023 tillsynsbegäran.docx", "A 28013-2023")</f>
        <v/>
      </c>
      <c r="Y961">
        <f>HYPERLINK("https://klasma.github.io/Logging_2462/tillsynsmail/A 28013-2023 tillsynsbegäran mail.docx", "A 28013-2023")</f>
        <v/>
      </c>
    </row>
    <row r="962" ht="15" customHeight="1">
      <c r="A962" t="inlineStr">
        <is>
          <t>A 28012-2023</t>
        </is>
      </c>
      <c r="B962" s="1" t="n">
        <v>45098</v>
      </c>
      <c r="C962" s="1" t="n">
        <v>45792</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Garnlav
Tretåig hackspett</t>
        </is>
      </c>
      <c r="S962">
        <f>HYPERLINK("https://klasma.github.io/Logging_2462/artfynd/A 28012-2023 artfynd.xlsx", "A 28012-2023")</f>
        <v/>
      </c>
      <c r="T962">
        <f>HYPERLINK("https://klasma.github.io/Logging_2462/kartor/A 28012-2023 karta.png", "A 28012-2023")</f>
        <v/>
      </c>
      <c r="V962">
        <f>HYPERLINK("https://klasma.github.io/Logging_2462/klagomål/A 28012-2023 FSC-klagomål.docx", "A 28012-2023")</f>
        <v/>
      </c>
      <c r="W962">
        <f>HYPERLINK("https://klasma.github.io/Logging_2462/klagomålsmail/A 28012-2023 FSC-klagomål mail.docx", "A 28012-2023")</f>
        <v/>
      </c>
      <c r="X962">
        <f>HYPERLINK("https://klasma.github.io/Logging_2462/tillsyn/A 28012-2023 tillsynsbegäran.docx", "A 28012-2023")</f>
        <v/>
      </c>
      <c r="Y962">
        <f>HYPERLINK("https://klasma.github.io/Logging_2462/tillsynsmail/A 28012-2023 tillsynsbegäran mail.docx", "A 28012-2023")</f>
        <v/>
      </c>
      <c r="Z962">
        <f>HYPERLINK("https://klasma.github.io/Logging_2462/fåglar/A 28012-2023 prioriterade fågelarter.docx", "A 28012-2023")</f>
        <v/>
      </c>
    </row>
    <row r="963" ht="15" customHeight="1">
      <c r="A963" t="inlineStr">
        <is>
          <t>A 28515-2023</t>
        </is>
      </c>
      <c r="B963" s="1" t="n">
        <v>45103</v>
      </c>
      <c r="C963" s="1" t="n">
        <v>45792</v>
      </c>
      <c r="D963" t="inlineStr">
        <is>
          <t>VÄSTERBOTTENS LÄN</t>
        </is>
      </c>
      <c r="E963" t="inlineStr">
        <is>
          <t>LYCKSELE</t>
        </is>
      </c>
      <c r="F963" t="inlineStr">
        <is>
          <t>Sveaskog</t>
        </is>
      </c>
      <c r="G963" t="n">
        <v>10</v>
      </c>
      <c r="H963" t="n">
        <v>0</v>
      </c>
      <c r="I963" t="n">
        <v>0</v>
      </c>
      <c r="J963" t="n">
        <v>2</v>
      </c>
      <c r="K963" t="n">
        <v>0</v>
      </c>
      <c r="L963" t="n">
        <v>0</v>
      </c>
      <c r="M963" t="n">
        <v>0</v>
      </c>
      <c r="N963" t="n">
        <v>0</v>
      </c>
      <c r="O963" t="n">
        <v>2</v>
      </c>
      <c r="P963" t="n">
        <v>0</v>
      </c>
      <c r="Q963" t="n">
        <v>2</v>
      </c>
      <c r="R963" s="2" t="inlineStr">
        <is>
          <t>Lunglav
Tallticka</t>
        </is>
      </c>
      <c r="S963">
        <f>HYPERLINK("https://klasma.github.io/Logging_2481/artfynd/A 28515-2023 artfynd.xlsx", "A 28515-2023")</f>
        <v/>
      </c>
      <c r="T963">
        <f>HYPERLINK("https://klasma.github.io/Logging_2481/kartor/A 28515-2023 karta.png", "A 28515-2023")</f>
        <v/>
      </c>
      <c r="V963">
        <f>HYPERLINK("https://klasma.github.io/Logging_2481/klagomål/A 28515-2023 FSC-klagomål.docx", "A 28515-2023")</f>
        <v/>
      </c>
      <c r="W963">
        <f>HYPERLINK("https://klasma.github.io/Logging_2481/klagomålsmail/A 28515-2023 FSC-klagomål mail.docx", "A 28515-2023")</f>
        <v/>
      </c>
      <c r="X963">
        <f>HYPERLINK("https://klasma.github.io/Logging_2481/tillsyn/A 28515-2023 tillsynsbegäran.docx", "A 28515-2023")</f>
        <v/>
      </c>
      <c r="Y963">
        <f>HYPERLINK("https://klasma.github.io/Logging_2481/tillsynsmail/A 28515-2023 tillsynsbegäran mail.docx", "A 28515-2023")</f>
        <v/>
      </c>
    </row>
    <row r="964" ht="15" customHeight="1">
      <c r="A964" t="inlineStr">
        <is>
          <t>A 29998-2023</t>
        </is>
      </c>
      <c r="B964" s="1" t="n">
        <v>45109</v>
      </c>
      <c r="C964" s="1" t="n">
        <v>45792</v>
      </c>
      <c r="D964" t="inlineStr">
        <is>
          <t>VÄSTERBOTTENS LÄN</t>
        </is>
      </c>
      <c r="E964" t="inlineStr">
        <is>
          <t>SKELLEFTEÅ</t>
        </is>
      </c>
      <c r="F964" t="inlineStr">
        <is>
          <t>Sveaskog</t>
        </is>
      </c>
      <c r="G964" t="n">
        <v>10.2</v>
      </c>
      <c r="H964" t="n">
        <v>0</v>
      </c>
      <c r="I964" t="n">
        <v>1</v>
      </c>
      <c r="J964" t="n">
        <v>1</v>
      </c>
      <c r="K964" t="n">
        <v>0</v>
      </c>
      <c r="L964" t="n">
        <v>0</v>
      </c>
      <c r="M964" t="n">
        <v>0</v>
      </c>
      <c r="N964" t="n">
        <v>0</v>
      </c>
      <c r="O964" t="n">
        <v>1</v>
      </c>
      <c r="P964" t="n">
        <v>0</v>
      </c>
      <c r="Q964" t="n">
        <v>2</v>
      </c>
      <c r="R964" s="2" t="inlineStr">
        <is>
          <t>Ullticka
Luddlav</t>
        </is>
      </c>
      <c r="S964">
        <f>HYPERLINK("https://klasma.github.io/Logging_2482/artfynd/A 29998-2023 artfynd.xlsx", "A 29998-2023")</f>
        <v/>
      </c>
      <c r="T964">
        <f>HYPERLINK("https://klasma.github.io/Logging_2482/kartor/A 29998-2023 karta.png", "A 29998-2023")</f>
        <v/>
      </c>
      <c r="V964">
        <f>HYPERLINK("https://klasma.github.io/Logging_2482/klagomål/A 29998-2023 FSC-klagomål.docx", "A 29998-2023")</f>
        <v/>
      </c>
      <c r="W964">
        <f>HYPERLINK("https://klasma.github.io/Logging_2482/klagomålsmail/A 29998-2023 FSC-klagomål mail.docx", "A 29998-2023")</f>
        <v/>
      </c>
      <c r="X964">
        <f>HYPERLINK("https://klasma.github.io/Logging_2482/tillsyn/A 29998-2023 tillsynsbegäran.docx", "A 29998-2023")</f>
        <v/>
      </c>
      <c r="Y964">
        <f>HYPERLINK("https://klasma.github.io/Logging_2482/tillsynsmail/A 29998-2023 tillsynsbegäran mail.docx", "A 29998-2023")</f>
        <v/>
      </c>
    </row>
    <row r="965" ht="15" customHeight="1">
      <c r="A965" t="inlineStr">
        <is>
          <t>A 30717-2023</t>
        </is>
      </c>
      <c r="B965" s="1" t="n">
        <v>45112</v>
      </c>
      <c r="C965" s="1" t="n">
        <v>45792</v>
      </c>
      <c r="D965" t="inlineStr">
        <is>
          <t>VÄSTERBOTTENS LÄN</t>
        </is>
      </c>
      <c r="E965" t="inlineStr">
        <is>
          <t>VILHELMINA</t>
        </is>
      </c>
      <c r="G965" t="n">
        <v>22.7</v>
      </c>
      <c r="H965" t="n">
        <v>0</v>
      </c>
      <c r="I965" t="n">
        <v>0</v>
      </c>
      <c r="J965" t="n">
        <v>2</v>
      </c>
      <c r="K965" t="n">
        <v>0</v>
      </c>
      <c r="L965" t="n">
        <v>0</v>
      </c>
      <c r="M965" t="n">
        <v>0</v>
      </c>
      <c r="N965" t="n">
        <v>0</v>
      </c>
      <c r="O965" t="n">
        <v>2</v>
      </c>
      <c r="P965" t="n">
        <v>0</v>
      </c>
      <c r="Q965" t="n">
        <v>2</v>
      </c>
      <c r="R965" s="2" t="inlineStr">
        <is>
          <t>Garnlav
Ullticka</t>
        </is>
      </c>
      <c r="S965">
        <f>HYPERLINK("https://klasma.github.io/Logging_2462/artfynd/A 30717-2023 artfynd.xlsx", "A 30717-2023")</f>
        <v/>
      </c>
      <c r="T965">
        <f>HYPERLINK("https://klasma.github.io/Logging_2462/kartor/A 30717-2023 karta.png", "A 30717-2023")</f>
        <v/>
      </c>
      <c r="V965">
        <f>HYPERLINK("https://klasma.github.io/Logging_2462/klagomål/A 30717-2023 FSC-klagomål.docx", "A 30717-2023")</f>
        <v/>
      </c>
      <c r="W965">
        <f>HYPERLINK("https://klasma.github.io/Logging_2462/klagomålsmail/A 30717-2023 FSC-klagomål mail.docx", "A 30717-2023")</f>
        <v/>
      </c>
      <c r="X965">
        <f>HYPERLINK("https://klasma.github.io/Logging_2462/tillsyn/A 30717-2023 tillsynsbegäran.docx", "A 30717-2023")</f>
        <v/>
      </c>
      <c r="Y965">
        <f>HYPERLINK("https://klasma.github.io/Logging_2462/tillsynsmail/A 30717-2023 tillsynsbegäran mail.docx", "A 30717-2023")</f>
        <v/>
      </c>
    </row>
    <row r="966" ht="15" customHeight="1">
      <c r="A966" t="inlineStr">
        <is>
          <t>A 31206-2023</t>
        </is>
      </c>
      <c r="B966" s="1" t="n">
        <v>45113</v>
      </c>
      <c r="C966" s="1" t="n">
        <v>45792</v>
      </c>
      <c r="D966" t="inlineStr">
        <is>
          <t>VÄSTERBOTTENS LÄN</t>
        </is>
      </c>
      <c r="E966" t="inlineStr">
        <is>
          <t>BJURHOLM</t>
        </is>
      </c>
      <c r="F966" t="inlineStr">
        <is>
          <t>SCA</t>
        </is>
      </c>
      <c r="G966" t="n">
        <v>6</v>
      </c>
      <c r="H966" t="n">
        <v>0</v>
      </c>
      <c r="I966" t="n">
        <v>1</v>
      </c>
      <c r="J966" t="n">
        <v>1</v>
      </c>
      <c r="K966" t="n">
        <v>0</v>
      </c>
      <c r="L966" t="n">
        <v>0</v>
      </c>
      <c r="M966" t="n">
        <v>0</v>
      </c>
      <c r="N966" t="n">
        <v>0</v>
      </c>
      <c r="O966" t="n">
        <v>1</v>
      </c>
      <c r="P966" t="n">
        <v>0</v>
      </c>
      <c r="Q966" t="n">
        <v>2</v>
      </c>
      <c r="R966" s="2" t="inlineStr">
        <is>
          <t>Garnlav
Skarp dropptaggsvamp</t>
        </is>
      </c>
      <c r="S966">
        <f>HYPERLINK("https://klasma.github.io/Logging_2403/artfynd/A 31206-2023 artfynd.xlsx", "A 31206-2023")</f>
        <v/>
      </c>
      <c r="T966">
        <f>HYPERLINK("https://klasma.github.io/Logging_2403/kartor/A 31206-2023 karta.png", "A 31206-2023")</f>
        <v/>
      </c>
      <c r="U966">
        <f>HYPERLINK("https://klasma.github.io/Logging_2403/knärot/A 31206-2023 karta knärot.png", "A 31206-2023")</f>
        <v/>
      </c>
      <c r="V966">
        <f>HYPERLINK("https://klasma.github.io/Logging_2403/klagomål/A 31206-2023 FSC-klagomål.docx", "A 31206-2023")</f>
        <v/>
      </c>
      <c r="W966">
        <f>HYPERLINK("https://klasma.github.io/Logging_2403/klagomålsmail/A 31206-2023 FSC-klagomål mail.docx", "A 31206-2023")</f>
        <v/>
      </c>
      <c r="X966">
        <f>HYPERLINK("https://klasma.github.io/Logging_2403/tillsyn/A 31206-2023 tillsynsbegäran.docx", "A 31206-2023")</f>
        <v/>
      </c>
      <c r="Y966">
        <f>HYPERLINK("https://klasma.github.io/Logging_2403/tillsynsmail/A 31206-2023 tillsynsbegäran mail.docx", "A 31206-2023")</f>
        <v/>
      </c>
    </row>
    <row r="967" ht="15" customHeight="1">
      <c r="A967" t="inlineStr">
        <is>
          <t>A 31444-2023</t>
        </is>
      </c>
      <c r="B967" s="1" t="n">
        <v>45114</v>
      </c>
      <c r="C967" s="1" t="n">
        <v>45792</v>
      </c>
      <c r="D967" t="inlineStr">
        <is>
          <t>VÄSTERBOTTENS LÄN</t>
        </is>
      </c>
      <c r="E967" t="inlineStr">
        <is>
          <t>UMEÅ</t>
        </is>
      </c>
      <c r="F967" t="inlineStr">
        <is>
          <t>Holmen skog AB</t>
        </is>
      </c>
      <c r="G967" t="n">
        <v>9.4</v>
      </c>
      <c r="H967" t="n">
        <v>0</v>
      </c>
      <c r="I967" t="n">
        <v>0</v>
      </c>
      <c r="J967" t="n">
        <v>2</v>
      </c>
      <c r="K967" t="n">
        <v>0</v>
      </c>
      <c r="L967" t="n">
        <v>0</v>
      </c>
      <c r="M967" t="n">
        <v>0</v>
      </c>
      <c r="N967" t="n">
        <v>0</v>
      </c>
      <c r="O967" t="n">
        <v>2</v>
      </c>
      <c r="P967" t="n">
        <v>0</v>
      </c>
      <c r="Q967" t="n">
        <v>2</v>
      </c>
      <c r="R967" s="2" t="inlineStr">
        <is>
          <t>Kolflarnlav
Vedflamlav</t>
        </is>
      </c>
      <c r="S967">
        <f>HYPERLINK("https://klasma.github.io/Logging_2480/artfynd/A 31444-2023 artfynd.xlsx", "A 31444-2023")</f>
        <v/>
      </c>
      <c r="T967">
        <f>HYPERLINK("https://klasma.github.io/Logging_2480/kartor/A 31444-2023 karta.png", "A 31444-2023")</f>
        <v/>
      </c>
      <c r="V967">
        <f>HYPERLINK("https://klasma.github.io/Logging_2480/klagomål/A 31444-2023 FSC-klagomål.docx", "A 31444-2023")</f>
        <v/>
      </c>
      <c r="W967">
        <f>HYPERLINK("https://klasma.github.io/Logging_2480/klagomålsmail/A 31444-2023 FSC-klagomål mail.docx", "A 31444-2023")</f>
        <v/>
      </c>
      <c r="X967">
        <f>HYPERLINK("https://klasma.github.io/Logging_2480/tillsyn/A 31444-2023 tillsynsbegäran.docx", "A 31444-2023")</f>
        <v/>
      </c>
      <c r="Y967">
        <f>HYPERLINK("https://klasma.github.io/Logging_2480/tillsynsmail/A 31444-2023 tillsynsbegäran mail.docx", "A 31444-2023")</f>
        <v/>
      </c>
    </row>
    <row r="968" ht="15" customHeight="1">
      <c r="A968" t="inlineStr">
        <is>
          <t>A 31737-2023</t>
        </is>
      </c>
      <c r="B968" s="1" t="n">
        <v>45117</v>
      </c>
      <c r="C968" s="1" t="n">
        <v>45792</v>
      </c>
      <c r="D968" t="inlineStr">
        <is>
          <t>VÄSTERBOTTENS LÄN</t>
        </is>
      </c>
      <c r="E968" t="inlineStr">
        <is>
          <t>BJURHOLM</t>
        </is>
      </c>
      <c r="F968" t="inlineStr">
        <is>
          <t>SCA</t>
        </is>
      </c>
      <c r="G968" t="n">
        <v>4.5</v>
      </c>
      <c r="H968" t="n">
        <v>0</v>
      </c>
      <c r="I968" t="n">
        <v>0</v>
      </c>
      <c r="J968" t="n">
        <v>2</v>
      </c>
      <c r="K968" t="n">
        <v>0</v>
      </c>
      <c r="L968" t="n">
        <v>0</v>
      </c>
      <c r="M968" t="n">
        <v>0</v>
      </c>
      <c r="N968" t="n">
        <v>0</v>
      </c>
      <c r="O968" t="n">
        <v>2</v>
      </c>
      <c r="P968" t="n">
        <v>0</v>
      </c>
      <c r="Q968" t="n">
        <v>2</v>
      </c>
      <c r="R968" s="2" t="inlineStr">
        <is>
          <t>Dvärgbägarlav
Vedskivlav</t>
        </is>
      </c>
      <c r="S968">
        <f>HYPERLINK("https://klasma.github.io/Logging_2403/artfynd/A 31737-2023 artfynd.xlsx", "A 31737-2023")</f>
        <v/>
      </c>
      <c r="T968">
        <f>HYPERLINK("https://klasma.github.io/Logging_2403/kartor/A 31737-2023 karta.png", "A 31737-2023")</f>
        <v/>
      </c>
      <c r="V968">
        <f>HYPERLINK("https://klasma.github.io/Logging_2403/klagomål/A 31737-2023 FSC-klagomål.docx", "A 31737-2023")</f>
        <v/>
      </c>
      <c r="W968">
        <f>HYPERLINK("https://klasma.github.io/Logging_2403/klagomålsmail/A 31737-2023 FSC-klagomål mail.docx", "A 31737-2023")</f>
        <v/>
      </c>
      <c r="X968">
        <f>HYPERLINK("https://klasma.github.io/Logging_2403/tillsyn/A 31737-2023 tillsynsbegäran.docx", "A 31737-2023")</f>
        <v/>
      </c>
      <c r="Y968">
        <f>HYPERLINK("https://klasma.github.io/Logging_2403/tillsynsmail/A 31737-2023 tillsynsbegäran mail.docx", "A 31737-2023")</f>
        <v/>
      </c>
    </row>
    <row r="969" ht="15" customHeight="1">
      <c r="A969" t="inlineStr">
        <is>
          <t>A 33663-2023</t>
        </is>
      </c>
      <c r="B969" s="1" t="n">
        <v>45119</v>
      </c>
      <c r="C969" s="1" t="n">
        <v>45792</v>
      </c>
      <c r="D969" t="inlineStr">
        <is>
          <t>VÄSTERBOTTENS LÄN</t>
        </is>
      </c>
      <c r="E969" t="inlineStr">
        <is>
          <t>DOROTEA</t>
        </is>
      </c>
      <c r="F969" t="inlineStr">
        <is>
          <t>Allmännings- och besparingsskogar</t>
        </is>
      </c>
      <c r="G969" t="n">
        <v>2.6</v>
      </c>
      <c r="H969" t="n">
        <v>0</v>
      </c>
      <c r="I969" t="n">
        <v>0</v>
      </c>
      <c r="J969" t="n">
        <v>2</v>
      </c>
      <c r="K969" t="n">
        <v>0</v>
      </c>
      <c r="L969" t="n">
        <v>0</v>
      </c>
      <c r="M969" t="n">
        <v>0</v>
      </c>
      <c r="N969" t="n">
        <v>0</v>
      </c>
      <c r="O969" t="n">
        <v>2</v>
      </c>
      <c r="P969" t="n">
        <v>0</v>
      </c>
      <c r="Q969" t="n">
        <v>2</v>
      </c>
      <c r="R969" s="2" t="inlineStr">
        <is>
          <t>Garnlav
Harticka</t>
        </is>
      </c>
      <c r="S969">
        <f>HYPERLINK("https://klasma.github.io/Logging_2425/artfynd/A 33663-2023 artfynd.xlsx", "A 33663-2023")</f>
        <v/>
      </c>
      <c r="T969">
        <f>HYPERLINK("https://klasma.github.io/Logging_2425/kartor/A 33663-2023 karta.png", "A 33663-2023")</f>
        <v/>
      </c>
      <c r="V969">
        <f>HYPERLINK("https://klasma.github.io/Logging_2425/klagomål/A 33663-2023 FSC-klagomål.docx", "A 33663-2023")</f>
        <v/>
      </c>
      <c r="W969">
        <f>HYPERLINK("https://klasma.github.io/Logging_2425/klagomålsmail/A 33663-2023 FSC-klagomål mail.docx", "A 33663-2023")</f>
        <v/>
      </c>
      <c r="X969">
        <f>HYPERLINK("https://klasma.github.io/Logging_2425/tillsyn/A 33663-2023 tillsynsbegäran.docx", "A 33663-2023")</f>
        <v/>
      </c>
      <c r="Y969">
        <f>HYPERLINK("https://klasma.github.io/Logging_2425/tillsynsmail/A 33663-2023 tillsynsbegäran mail.docx", "A 33663-2023")</f>
        <v/>
      </c>
    </row>
    <row r="970" ht="15" customHeight="1">
      <c r="A970" t="inlineStr">
        <is>
          <t>A 34089-2023</t>
        </is>
      </c>
      <c r="B970" s="1" t="n">
        <v>45125</v>
      </c>
      <c r="C970" s="1" t="n">
        <v>45792</v>
      </c>
      <c r="D970" t="inlineStr">
        <is>
          <t>VÄSTERBOTTENS LÄN</t>
        </is>
      </c>
      <c r="E970" t="inlineStr">
        <is>
          <t>VILHELMINA</t>
        </is>
      </c>
      <c r="G970" t="n">
        <v>24.1</v>
      </c>
      <c r="H970" t="n">
        <v>1</v>
      </c>
      <c r="I970" t="n">
        <v>0</v>
      </c>
      <c r="J970" t="n">
        <v>2</v>
      </c>
      <c r="K970" t="n">
        <v>0</v>
      </c>
      <c r="L970" t="n">
        <v>0</v>
      </c>
      <c r="M970" t="n">
        <v>0</v>
      </c>
      <c r="N970" t="n">
        <v>0</v>
      </c>
      <c r="O970" t="n">
        <v>2</v>
      </c>
      <c r="P970" t="n">
        <v>0</v>
      </c>
      <c r="Q970" t="n">
        <v>2</v>
      </c>
      <c r="R970" s="2" t="inlineStr">
        <is>
          <t>Garnlav
Tretåig hackspett</t>
        </is>
      </c>
      <c r="S970">
        <f>HYPERLINK("https://klasma.github.io/Logging_2462/artfynd/A 34089-2023 artfynd.xlsx", "A 34089-2023")</f>
        <v/>
      </c>
      <c r="T970">
        <f>HYPERLINK("https://klasma.github.io/Logging_2462/kartor/A 34089-2023 karta.png", "A 34089-2023")</f>
        <v/>
      </c>
      <c r="V970">
        <f>HYPERLINK("https://klasma.github.io/Logging_2462/klagomål/A 34089-2023 FSC-klagomål.docx", "A 34089-2023")</f>
        <v/>
      </c>
      <c r="W970">
        <f>HYPERLINK("https://klasma.github.io/Logging_2462/klagomålsmail/A 34089-2023 FSC-klagomål mail.docx", "A 34089-2023")</f>
        <v/>
      </c>
      <c r="X970">
        <f>HYPERLINK("https://klasma.github.io/Logging_2462/tillsyn/A 34089-2023 tillsynsbegäran.docx", "A 34089-2023")</f>
        <v/>
      </c>
      <c r="Y970">
        <f>HYPERLINK("https://klasma.github.io/Logging_2462/tillsynsmail/A 34089-2023 tillsynsbegäran mail.docx", "A 34089-2023")</f>
        <v/>
      </c>
      <c r="Z970">
        <f>HYPERLINK("https://klasma.github.io/Logging_2462/fåglar/A 34089-2023 prioriterade fågelarter.docx", "A 34089-2023")</f>
        <v/>
      </c>
    </row>
    <row r="971" ht="15" customHeight="1">
      <c r="A971" t="inlineStr">
        <is>
          <t>A 34870-2023</t>
        </is>
      </c>
      <c r="B971" s="1" t="n">
        <v>45142</v>
      </c>
      <c r="C971" s="1" t="n">
        <v>45792</v>
      </c>
      <c r="D971" t="inlineStr">
        <is>
          <t>VÄSTERBOTTENS LÄN</t>
        </is>
      </c>
      <c r="E971" t="inlineStr">
        <is>
          <t>LYCKSELE</t>
        </is>
      </c>
      <c r="F971" t="inlineStr">
        <is>
          <t>Sveaskog</t>
        </is>
      </c>
      <c r="G971" t="n">
        <v>10.9</v>
      </c>
      <c r="H971" t="n">
        <v>0</v>
      </c>
      <c r="I971" t="n">
        <v>0</v>
      </c>
      <c r="J971" t="n">
        <v>2</v>
      </c>
      <c r="K971" t="n">
        <v>0</v>
      </c>
      <c r="L971" t="n">
        <v>0</v>
      </c>
      <c r="M971" t="n">
        <v>0</v>
      </c>
      <c r="N971" t="n">
        <v>0</v>
      </c>
      <c r="O971" t="n">
        <v>2</v>
      </c>
      <c r="P971" t="n">
        <v>0</v>
      </c>
      <c r="Q971" t="n">
        <v>2</v>
      </c>
      <c r="R971" s="2" t="inlineStr">
        <is>
          <t>Lunglav
Mörk kolflarnlav</t>
        </is>
      </c>
      <c r="S971">
        <f>HYPERLINK("https://klasma.github.io/Logging_2481/artfynd/A 34870-2023 artfynd.xlsx", "A 34870-2023")</f>
        <v/>
      </c>
      <c r="T971">
        <f>HYPERLINK("https://klasma.github.io/Logging_2481/kartor/A 34870-2023 karta.png", "A 34870-2023")</f>
        <v/>
      </c>
      <c r="V971">
        <f>HYPERLINK("https://klasma.github.io/Logging_2481/klagomål/A 34870-2023 FSC-klagomål.docx", "A 34870-2023")</f>
        <v/>
      </c>
      <c r="W971">
        <f>HYPERLINK("https://klasma.github.io/Logging_2481/klagomålsmail/A 34870-2023 FSC-klagomål mail.docx", "A 34870-2023")</f>
        <v/>
      </c>
      <c r="X971">
        <f>HYPERLINK("https://klasma.github.io/Logging_2481/tillsyn/A 34870-2023 tillsynsbegäran.docx", "A 34870-2023")</f>
        <v/>
      </c>
      <c r="Y971">
        <f>HYPERLINK("https://klasma.github.io/Logging_2481/tillsynsmail/A 34870-2023 tillsynsbegäran mail.docx", "A 34870-2023")</f>
        <v/>
      </c>
    </row>
    <row r="972" ht="15" customHeight="1">
      <c r="A972" t="inlineStr">
        <is>
          <t>A 35513-2023</t>
        </is>
      </c>
      <c r="B972" s="1" t="n">
        <v>45147</v>
      </c>
      <c r="C972" s="1" t="n">
        <v>45792</v>
      </c>
      <c r="D972" t="inlineStr">
        <is>
          <t>VÄSTERBOTTENS LÄN</t>
        </is>
      </c>
      <c r="E972" t="inlineStr">
        <is>
          <t>SKELLEFTEÅ</t>
        </is>
      </c>
      <c r="F972" t="inlineStr">
        <is>
          <t>Holmen skog AB</t>
        </is>
      </c>
      <c r="G972" t="n">
        <v>16.9</v>
      </c>
      <c r="H972" t="n">
        <v>0</v>
      </c>
      <c r="I972" t="n">
        <v>0</v>
      </c>
      <c r="J972" t="n">
        <v>2</v>
      </c>
      <c r="K972" t="n">
        <v>0</v>
      </c>
      <c r="L972" t="n">
        <v>0</v>
      </c>
      <c r="M972" t="n">
        <v>0</v>
      </c>
      <c r="N972" t="n">
        <v>0</v>
      </c>
      <c r="O972" t="n">
        <v>2</v>
      </c>
      <c r="P972" t="n">
        <v>0</v>
      </c>
      <c r="Q972" t="n">
        <v>2</v>
      </c>
      <c r="R972" s="2" t="inlineStr">
        <is>
          <t>Gultoppig fingersvamp
Orange taggsvamp</t>
        </is>
      </c>
      <c r="S972">
        <f>HYPERLINK("https://klasma.github.io/Logging_2482/artfynd/A 35513-2023 artfynd.xlsx", "A 35513-2023")</f>
        <v/>
      </c>
      <c r="T972">
        <f>HYPERLINK("https://klasma.github.io/Logging_2482/kartor/A 35513-2023 karta.png", "A 35513-2023")</f>
        <v/>
      </c>
      <c r="V972">
        <f>HYPERLINK("https://klasma.github.io/Logging_2482/klagomål/A 35513-2023 FSC-klagomål.docx", "A 35513-2023")</f>
        <v/>
      </c>
      <c r="W972">
        <f>HYPERLINK("https://klasma.github.io/Logging_2482/klagomålsmail/A 35513-2023 FSC-klagomål mail.docx", "A 35513-2023")</f>
        <v/>
      </c>
      <c r="X972">
        <f>HYPERLINK("https://klasma.github.io/Logging_2482/tillsyn/A 35513-2023 tillsynsbegäran.docx", "A 35513-2023")</f>
        <v/>
      </c>
      <c r="Y972">
        <f>HYPERLINK("https://klasma.github.io/Logging_2482/tillsynsmail/A 35513-2023 tillsynsbegäran mail.docx", "A 35513-2023")</f>
        <v/>
      </c>
    </row>
    <row r="973" ht="15" customHeight="1">
      <c r="A973" t="inlineStr">
        <is>
          <t>A 35988-2023</t>
        </is>
      </c>
      <c r="B973" s="1" t="n">
        <v>45148</v>
      </c>
      <c r="C973" s="1" t="n">
        <v>45792</v>
      </c>
      <c r="D973" t="inlineStr">
        <is>
          <t>VÄSTERBOTTENS LÄN</t>
        </is>
      </c>
      <c r="E973" t="inlineStr">
        <is>
          <t>DOROTEA</t>
        </is>
      </c>
      <c r="F973" t="inlineStr">
        <is>
          <t>SCA</t>
        </is>
      </c>
      <c r="G973" t="n">
        <v>14.1</v>
      </c>
      <c r="H973" t="n">
        <v>0</v>
      </c>
      <c r="I973" t="n">
        <v>1</v>
      </c>
      <c r="J973" t="n">
        <v>1</v>
      </c>
      <c r="K973" t="n">
        <v>0</v>
      </c>
      <c r="L973" t="n">
        <v>0</v>
      </c>
      <c r="M973" t="n">
        <v>0</v>
      </c>
      <c r="N973" t="n">
        <v>0</v>
      </c>
      <c r="O973" t="n">
        <v>1</v>
      </c>
      <c r="P973" t="n">
        <v>0</v>
      </c>
      <c r="Q973" t="n">
        <v>2</v>
      </c>
      <c r="R973" s="2" t="inlineStr">
        <is>
          <t>Luddfingersvamp
Ögonpyrola</t>
        </is>
      </c>
      <c r="S973">
        <f>HYPERLINK("https://klasma.github.io/Logging_2425/artfynd/A 35988-2023 artfynd.xlsx", "A 35988-2023")</f>
        <v/>
      </c>
      <c r="T973">
        <f>HYPERLINK("https://klasma.github.io/Logging_2425/kartor/A 35988-2023 karta.png", "A 35988-2023")</f>
        <v/>
      </c>
      <c r="V973">
        <f>HYPERLINK("https://klasma.github.io/Logging_2425/klagomål/A 35988-2023 FSC-klagomål.docx", "A 35988-2023")</f>
        <v/>
      </c>
      <c r="W973">
        <f>HYPERLINK("https://klasma.github.io/Logging_2425/klagomålsmail/A 35988-2023 FSC-klagomål mail.docx", "A 35988-2023")</f>
        <v/>
      </c>
      <c r="X973">
        <f>HYPERLINK("https://klasma.github.io/Logging_2425/tillsyn/A 35988-2023 tillsynsbegäran.docx", "A 35988-2023")</f>
        <v/>
      </c>
      <c r="Y973">
        <f>HYPERLINK("https://klasma.github.io/Logging_2425/tillsynsmail/A 35988-2023 tillsynsbegäran mail.docx", "A 35988-2023")</f>
        <v/>
      </c>
    </row>
    <row r="974" ht="15" customHeight="1">
      <c r="A974" t="inlineStr">
        <is>
          <t>A 36434-2023</t>
        </is>
      </c>
      <c r="B974" s="1" t="n">
        <v>45152</v>
      </c>
      <c r="C974" s="1" t="n">
        <v>45792</v>
      </c>
      <c r="D974" t="inlineStr">
        <is>
          <t>VÄSTERBOTTENS LÄN</t>
        </is>
      </c>
      <c r="E974" t="inlineStr">
        <is>
          <t>VINDELN</t>
        </is>
      </c>
      <c r="F974" t="inlineStr">
        <is>
          <t>Holmen skog AB</t>
        </is>
      </c>
      <c r="G974" t="n">
        <v>10.7</v>
      </c>
      <c r="H974" t="n">
        <v>0</v>
      </c>
      <c r="I974" t="n">
        <v>2</v>
      </c>
      <c r="J974" t="n">
        <v>0</v>
      </c>
      <c r="K974" t="n">
        <v>0</v>
      </c>
      <c r="L974" t="n">
        <v>0</v>
      </c>
      <c r="M974" t="n">
        <v>0</v>
      </c>
      <c r="N974" t="n">
        <v>0</v>
      </c>
      <c r="O974" t="n">
        <v>0</v>
      </c>
      <c r="P974" t="n">
        <v>0</v>
      </c>
      <c r="Q974" t="n">
        <v>2</v>
      </c>
      <c r="R974" s="2" t="inlineStr">
        <is>
          <t>Dropptaggsvamp
Mindre märgborre</t>
        </is>
      </c>
      <c r="S974">
        <f>HYPERLINK("https://klasma.github.io/Logging_2404/artfynd/A 36434-2023 artfynd.xlsx", "A 36434-2023")</f>
        <v/>
      </c>
      <c r="T974">
        <f>HYPERLINK("https://klasma.github.io/Logging_2404/kartor/A 36434-2023 karta.png", "A 36434-2023")</f>
        <v/>
      </c>
      <c r="V974">
        <f>HYPERLINK("https://klasma.github.io/Logging_2404/klagomål/A 36434-2023 FSC-klagomål.docx", "A 36434-2023")</f>
        <v/>
      </c>
      <c r="W974">
        <f>HYPERLINK("https://klasma.github.io/Logging_2404/klagomålsmail/A 36434-2023 FSC-klagomål mail.docx", "A 36434-2023")</f>
        <v/>
      </c>
      <c r="X974">
        <f>HYPERLINK("https://klasma.github.io/Logging_2404/tillsyn/A 36434-2023 tillsynsbegäran.docx", "A 36434-2023")</f>
        <v/>
      </c>
      <c r="Y974">
        <f>HYPERLINK("https://klasma.github.io/Logging_2404/tillsynsmail/A 36434-2023 tillsynsbegäran mail.docx", "A 36434-2023")</f>
        <v/>
      </c>
    </row>
    <row r="975" ht="15" customHeight="1">
      <c r="A975" t="inlineStr">
        <is>
          <t>A 36561-2023</t>
        </is>
      </c>
      <c r="B975" s="1" t="n">
        <v>45153</v>
      </c>
      <c r="C975" s="1" t="n">
        <v>45792</v>
      </c>
      <c r="D975" t="inlineStr">
        <is>
          <t>VÄSTERBOTTENS LÄN</t>
        </is>
      </c>
      <c r="E975" t="inlineStr">
        <is>
          <t>ROBERTSFORS</t>
        </is>
      </c>
      <c r="F975" t="inlineStr">
        <is>
          <t>Holmen skog AB</t>
        </is>
      </c>
      <c r="G975" t="n">
        <v>2.2</v>
      </c>
      <c r="H975" t="n">
        <v>2</v>
      </c>
      <c r="I975" t="n">
        <v>0</v>
      </c>
      <c r="J975" t="n">
        <v>0</v>
      </c>
      <c r="K975" t="n">
        <v>0</v>
      </c>
      <c r="L975" t="n">
        <v>0</v>
      </c>
      <c r="M975" t="n">
        <v>0</v>
      </c>
      <c r="N975" t="n">
        <v>0</v>
      </c>
      <c r="O975" t="n">
        <v>0</v>
      </c>
      <c r="P975" t="n">
        <v>0</v>
      </c>
      <c r="Q975" t="n">
        <v>2</v>
      </c>
      <c r="R975" s="2" t="inlineStr">
        <is>
          <t>Fläcknycklar
Revlummer</t>
        </is>
      </c>
      <c r="S975">
        <f>HYPERLINK("https://klasma.github.io/Logging_2409/artfynd/A 36561-2023 artfynd.xlsx", "A 36561-2023")</f>
        <v/>
      </c>
      <c r="T975">
        <f>HYPERLINK("https://klasma.github.io/Logging_2409/kartor/A 36561-2023 karta.png", "A 36561-2023")</f>
        <v/>
      </c>
      <c r="V975">
        <f>HYPERLINK("https://klasma.github.io/Logging_2409/klagomål/A 36561-2023 FSC-klagomål.docx", "A 36561-2023")</f>
        <v/>
      </c>
      <c r="W975">
        <f>HYPERLINK("https://klasma.github.io/Logging_2409/klagomålsmail/A 36561-2023 FSC-klagomål mail.docx", "A 36561-2023")</f>
        <v/>
      </c>
      <c r="X975">
        <f>HYPERLINK("https://klasma.github.io/Logging_2409/tillsyn/A 36561-2023 tillsynsbegäran.docx", "A 36561-2023")</f>
        <v/>
      </c>
      <c r="Y975">
        <f>HYPERLINK("https://klasma.github.io/Logging_2409/tillsynsmail/A 36561-2023 tillsynsbegäran mail.docx", "A 36561-2023")</f>
        <v/>
      </c>
    </row>
    <row r="976" ht="15" customHeight="1">
      <c r="A976" t="inlineStr">
        <is>
          <t>A 37257-2023</t>
        </is>
      </c>
      <c r="B976" s="1" t="n">
        <v>45156</v>
      </c>
      <c r="C976" s="1" t="n">
        <v>45792</v>
      </c>
      <c r="D976" t="inlineStr">
        <is>
          <t>VÄSTERBOTTENS LÄN</t>
        </is>
      </c>
      <c r="E976" t="inlineStr">
        <is>
          <t>VINDELN</t>
        </is>
      </c>
      <c r="F976" t="inlineStr">
        <is>
          <t>SCA</t>
        </is>
      </c>
      <c r="G976" t="n">
        <v>2.7</v>
      </c>
      <c r="H976" t="n">
        <v>0</v>
      </c>
      <c r="I976" t="n">
        <v>1</v>
      </c>
      <c r="J976" t="n">
        <v>1</v>
      </c>
      <c r="K976" t="n">
        <v>0</v>
      </c>
      <c r="L976" t="n">
        <v>0</v>
      </c>
      <c r="M976" t="n">
        <v>0</v>
      </c>
      <c r="N976" t="n">
        <v>0</v>
      </c>
      <c r="O976" t="n">
        <v>1</v>
      </c>
      <c r="P976" t="n">
        <v>0</v>
      </c>
      <c r="Q976" t="n">
        <v>2</v>
      </c>
      <c r="R976" s="2" t="inlineStr">
        <is>
          <t>Ullticka
Vedticka</t>
        </is>
      </c>
      <c r="S976">
        <f>HYPERLINK("https://klasma.github.io/Logging_2404/artfynd/A 37257-2023 artfynd.xlsx", "A 37257-2023")</f>
        <v/>
      </c>
      <c r="T976">
        <f>HYPERLINK("https://klasma.github.io/Logging_2404/kartor/A 37257-2023 karta.png", "A 37257-2023")</f>
        <v/>
      </c>
      <c r="V976">
        <f>HYPERLINK("https://klasma.github.io/Logging_2404/klagomål/A 37257-2023 FSC-klagomål.docx", "A 37257-2023")</f>
        <v/>
      </c>
      <c r="W976">
        <f>HYPERLINK("https://klasma.github.io/Logging_2404/klagomålsmail/A 37257-2023 FSC-klagomål mail.docx", "A 37257-2023")</f>
        <v/>
      </c>
      <c r="X976">
        <f>HYPERLINK("https://klasma.github.io/Logging_2404/tillsyn/A 37257-2023 tillsynsbegäran.docx", "A 37257-2023")</f>
        <v/>
      </c>
      <c r="Y976">
        <f>HYPERLINK("https://klasma.github.io/Logging_2404/tillsynsmail/A 37257-2023 tillsynsbegäran mail.docx", "A 37257-2023")</f>
        <v/>
      </c>
    </row>
    <row r="977" ht="15" customHeight="1">
      <c r="A977" t="inlineStr">
        <is>
          <t>A 37542-2023</t>
        </is>
      </c>
      <c r="B977" s="1" t="n">
        <v>45158</v>
      </c>
      <c r="C977" s="1" t="n">
        <v>45792</v>
      </c>
      <c r="D977" t="inlineStr">
        <is>
          <t>VÄSTERBOTTENS LÄN</t>
        </is>
      </c>
      <c r="E977" t="inlineStr">
        <is>
          <t>DOROTEA</t>
        </is>
      </c>
      <c r="F977" t="inlineStr">
        <is>
          <t>SCA</t>
        </is>
      </c>
      <c r="G977" t="n">
        <v>12</v>
      </c>
      <c r="H977" t="n">
        <v>0</v>
      </c>
      <c r="I977" t="n">
        <v>1</v>
      </c>
      <c r="J977" t="n">
        <v>1</v>
      </c>
      <c r="K977" t="n">
        <v>0</v>
      </c>
      <c r="L977" t="n">
        <v>0</v>
      </c>
      <c r="M977" t="n">
        <v>0</v>
      </c>
      <c r="N977" t="n">
        <v>0</v>
      </c>
      <c r="O977" t="n">
        <v>1</v>
      </c>
      <c r="P977" t="n">
        <v>0</v>
      </c>
      <c r="Q977" t="n">
        <v>2</v>
      </c>
      <c r="R977" s="2" t="inlineStr">
        <is>
          <t>Lunglav
Tibast</t>
        </is>
      </c>
      <c r="S977">
        <f>HYPERLINK("https://klasma.github.io/Logging_2425/artfynd/A 37542-2023 artfynd.xlsx", "A 37542-2023")</f>
        <v/>
      </c>
      <c r="T977">
        <f>HYPERLINK("https://klasma.github.io/Logging_2425/kartor/A 37542-2023 karta.png", "A 37542-2023")</f>
        <v/>
      </c>
      <c r="V977">
        <f>HYPERLINK("https://klasma.github.io/Logging_2425/klagomål/A 37542-2023 FSC-klagomål.docx", "A 37542-2023")</f>
        <v/>
      </c>
      <c r="W977">
        <f>HYPERLINK("https://klasma.github.io/Logging_2425/klagomålsmail/A 37542-2023 FSC-klagomål mail.docx", "A 37542-2023")</f>
        <v/>
      </c>
      <c r="X977">
        <f>HYPERLINK("https://klasma.github.io/Logging_2425/tillsyn/A 37542-2023 tillsynsbegäran.docx", "A 37542-2023")</f>
        <v/>
      </c>
      <c r="Y977">
        <f>HYPERLINK("https://klasma.github.io/Logging_2425/tillsynsmail/A 37542-2023 tillsynsbegäran mail.docx", "A 37542-2023")</f>
        <v/>
      </c>
    </row>
    <row r="978" ht="15" customHeight="1">
      <c r="A978" t="inlineStr">
        <is>
          <t>A 38062-2023</t>
        </is>
      </c>
      <c r="B978" s="1" t="n">
        <v>45159</v>
      </c>
      <c r="C978" s="1" t="n">
        <v>45792</v>
      </c>
      <c r="D978" t="inlineStr">
        <is>
          <t>VÄSTERBOTTENS LÄN</t>
        </is>
      </c>
      <c r="E978" t="inlineStr">
        <is>
          <t>VINDELN</t>
        </is>
      </c>
      <c r="G978" t="n">
        <v>11.7</v>
      </c>
      <c r="H978" t="n">
        <v>0</v>
      </c>
      <c r="I978" t="n">
        <v>1</v>
      </c>
      <c r="J978" t="n">
        <v>1</v>
      </c>
      <c r="K978" t="n">
        <v>0</v>
      </c>
      <c r="L978" t="n">
        <v>0</v>
      </c>
      <c r="M978" t="n">
        <v>0</v>
      </c>
      <c r="N978" t="n">
        <v>0</v>
      </c>
      <c r="O978" t="n">
        <v>1</v>
      </c>
      <c r="P978" t="n">
        <v>0</v>
      </c>
      <c r="Q978" t="n">
        <v>2</v>
      </c>
      <c r="R978" s="2" t="inlineStr">
        <is>
          <t>Scaphisoma subalpinum
Dorcatoma dresdensis</t>
        </is>
      </c>
      <c r="S978">
        <f>HYPERLINK("https://klasma.github.io/Logging_2404/artfynd/A 38062-2023 artfynd.xlsx", "A 38062-2023")</f>
        <v/>
      </c>
      <c r="T978">
        <f>HYPERLINK("https://klasma.github.io/Logging_2404/kartor/A 38062-2023 karta.png", "A 38062-2023")</f>
        <v/>
      </c>
      <c r="V978">
        <f>HYPERLINK("https://klasma.github.io/Logging_2404/klagomål/A 38062-2023 FSC-klagomål.docx", "A 38062-2023")</f>
        <v/>
      </c>
      <c r="W978">
        <f>HYPERLINK("https://klasma.github.io/Logging_2404/klagomålsmail/A 38062-2023 FSC-klagomål mail.docx", "A 38062-2023")</f>
        <v/>
      </c>
      <c r="X978">
        <f>HYPERLINK("https://klasma.github.io/Logging_2404/tillsyn/A 38062-2023 tillsynsbegäran.docx", "A 38062-2023")</f>
        <v/>
      </c>
      <c r="Y978">
        <f>HYPERLINK("https://klasma.github.io/Logging_2404/tillsynsmail/A 38062-2023 tillsynsbegäran mail.docx", "A 38062-2023")</f>
        <v/>
      </c>
    </row>
    <row r="979" ht="15" customHeight="1">
      <c r="A979" t="inlineStr">
        <is>
          <t>A 38430-2023</t>
        </is>
      </c>
      <c r="B979" s="1" t="n">
        <v>45162</v>
      </c>
      <c r="C979" s="1" t="n">
        <v>45792</v>
      </c>
      <c r="D979" t="inlineStr">
        <is>
          <t>VÄSTERBOTTENS LÄN</t>
        </is>
      </c>
      <c r="E979" t="inlineStr">
        <is>
          <t>LYCKSELE</t>
        </is>
      </c>
      <c r="F979" t="inlineStr">
        <is>
          <t>Sveaskog</t>
        </is>
      </c>
      <c r="G979" t="n">
        <v>13.7</v>
      </c>
      <c r="H979" t="n">
        <v>0</v>
      </c>
      <c r="I979" t="n">
        <v>1</v>
      </c>
      <c r="J979" t="n">
        <v>1</v>
      </c>
      <c r="K979" t="n">
        <v>0</v>
      </c>
      <c r="L979" t="n">
        <v>0</v>
      </c>
      <c r="M979" t="n">
        <v>0</v>
      </c>
      <c r="N979" t="n">
        <v>0</v>
      </c>
      <c r="O979" t="n">
        <v>1</v>
      </c>
      <c r="P979" t="n">
        <v>0</v>
      </c>
      <c r="Q979" t="n">
        <v>2</v>
      </c>
      <c r="R979" s="2" t="inlineStr">
        <is>
          <t>Kolflarnlav
Dropptaggsvamp</t>
        </is>
      </c>
      <c r="S979">
        <f>HYPERLINK("https://klasma.github.io/Logging_2481/artfynd/A 38430-2023 artfynd.xlsx", "A 38430-2023")</f>
        <v/>
      </c>
      <c r="T979">
        <f>HYPERLINK("https://klasma.github.io/Logging_2481/kartor/A 38430-2023 karta.png", "A 38430-2023")</f>
        <v/>
      </c>
      <c r="V979">
        <f>HYPERLINK("https://klasma.github.io/Logging_2481/klagomål/A 38430-2023 FSC-klagomål.docx", "A 38430-2023")</f>
        <v/>
      </c>
      <c r="W979">
        <f>HYPERLINK("https://klasma.github.io/Logging_2481/klagomålsmail/A 38430-2023 FSC-klagomål mail.docx", "A 38430-2023")</f>
        <v/>
      </c>
      <c r="X979">
        <f>HYPERLINK("https://klasma.github.io/Logging_2481/tillsyn/A 38430-2023 tillsynsbegäran.docx", "A 38430-2023")</f>
        <v/>
      </c>
      <c r="Y979">
        <f>HYPERLINK("https://klasma.github.io/Logging_2481/tillsynsmail/A 38430-2023 tillsynsbegäran mail.docx", "A 38430-2023")</f>
        <v/>
      </c>
    </row>
    <row r="980" ht="15" customHeight="1">
      <c r="A980" t="inlineStr">
        <is>
          <t>A 38475-2023</t>
        </is>
      </c>
      <c r="B980" s="1" t="n">
        <v>45162</v>
      </c>
      <c r="C980" s="1" t="n">
        <v>45792</v>
      </c>
      <c r="D980" t="inlineStr">
        <is>
          <t>VÄSTERBOTTENS LÄN</t>
        </is>
      </c>
      <c r="E980" t="inlineStr">
        <is>
          <t>LYCKSELE</t>
        </is>
      </c>
      <c r="F980" t="inlineStr">
        <is>
          <t>Sveaskog</t>
        </is>
      </c>
      <c r="G980" t="n">
        <v>1.6</v>
      </c>
      <c r="H980" t="n">
        <v>0</v>
      </c>
      <c r="I980" t="n">
        <v>0</v>
      </c>
      <c r="J980" t="n">
        <v>2</v>
      </c>
      <c r="K980" t="n">
        <v>0</v>
      </c>
      <c r="L980" t="n">
        <v>0</v>
      </c>
      <c r="M980" t="n">
        <v>0</v>
      </c>
      <c r="N980" t="n">
        <v>0</v>
      </c>
      <c r="O980" t="n">
        <v>2</v>
      </c>
      <c r="P980" t="n">
        <v>0</v>
      </c>
      <c r="Q980" t="n">
        <v>2</v>
      </c>
      <c r="R980" s="2" t="inlineStr">
        <is>
          <t>Blå taggsvamp
Mörk kolflarnlav</t>
        </is>
      </c>
      <c r="S980">
        <f>HYPERLINK("https://klasma.github.io/Logging_2481/artfynd/A 38475-2023 artfynd.xlsx", "A 38475-2023")</f>
        <v/>
      </c>
      <c r="T980">
        <f>HYPERLINK("https://klasma.github.io/Logging_2481/kartor/A 38475-2023 karta.png", "A 38475-2023")</f>
        <v/>
      </c>
      <c r="V980">
        <f>HYPERLINK("https://klasma.github.io/Logging_2481/klagomål/A 38475-2023 FSC-klagomål.docx", "A 38475-2023")</f>
        <v/>
      </c>
      <c r="W980">
        <f>HYPERLINK("https://klasma.github.io/Logging_2481/klagomålsmail/A 38475-2023 FSC-klagomål mail.docx", "A 38475-2023")</f>
        <v/>
      </c>
      <c r="X980">
        <f>HYPERLINK("https://klasma.github.io/Logging_2481/tillsyn/A 38475-2023 tillsynsbegäran.docx", "A 38475-2023")</f>
        <v/>
      </c>
      <c r="Y980">
        <f>HYPERLINK("https://klasma.github.io/Logging_2481/tillsynsmail/A 38475-2023 tillsynsbegäran mail.docx", "A 38475-2023")</f>
        <v/>
      </c>
    </row>
    <row r="981" ht="15" customHeight="1">
      <c r="A981" t="inlineStr">
        <is>
          <t>A 39826-2023</t>
        </is>
      </c>
      <c r="B981" s="1" t="n">
        <v>45168</v>
      </c>
      <c r="C981" s="1" t="n">
        <v>45792</v>
      </c>
      <c r="D981" t="inlineStr">
        <is>
          <t>VÄSTERBOTTENS LÄN</t>
        </is>
      </c>
      <c r="E981" t="inlineStr">
        <is>
          <t>ROBERTSFORS</t>
        </is>
      </c>
      <c r="F981" t="inlineStr">
        <is>
          <t>Holmen skog AB</t>
        </is>
      </c>
      <c r="G981" t="n">
        <v>5.1</v>
      </c>
      <c r="H981" t="n">
        <v>2</v>
      </c>
      <c r="I981" t="n">
        <v>0</v>
      </c>
      <c r="J981" t="n">
        <v>0</v>
      </c>
      <c r="K981" t="n">
        <v>0</v>
      </c>
      <c r="L981" t="n">
        <v>0</v>
      </c>
      <c r="M981" t="n">
        <v>0</v>
      </c>
      <c r="N981" t="n">
        <v>0</v>
      </c>
      <c r="O981" t="n">
        <v>0</v>
      </c>
      <c r="P981" t="n">
        <v>0</v>
      </c>
      <c r="Q981" t="n">
        <v>2</v>
      </c>
      <c r="R981" s="2" t="inlineStr">
        <is>
          <t>Fläcknycklar
Revlummer</t>
        </is>
      </c>
      <c r="S981">
        <f>HYPERLINK("https://klasma.github.io/Logging_2409/artfynd/A 39826-2023 artfynd.xlsx", "A 39826-2023")</f>
        <v/>
      </c>
      <c r="T981">
        <f>HYPERLINK("https://klasma.github.io/Logging_2409/kartor/A 39826-2023 karta.png", "A 39826-2023")</f>
        <v/>
      </c>
      <c r="V981">
        <f>HYPERLINK("https://klasma.github.io/Logging_2409/klagomål/A 39826-2023 FSC-klagomål.docx", "A 39826-2023")</f>
        <v/>
      </c>
      <c r="W981">
        <f>HYPERLINK("https://klasma.github.io/Logging_2409/klagomålsmail/A 39826-2023 FSC-klagomål mail.docx", "A 39826-2023")</f>
        <v/>
      </c>
      <c r="X981">
        <f>HYPERLINK("https://klasma.github.io/Logging_2409/tillsyn/A 39826-2023 tillsynsbegäran.docx", "A 39826-2023")</f>
        <v/>
      </c>
      <c r="Y981">
        <f>HYPERLINK("https://klasma.github.io/Logging_2409/tillsynsmail/A 39826-2023 tillsynsbegäran mail.docx", "A 39826-2023")</f>
        <v/>
      </c>
    </row>
    <row r="982" ht="15" customHeight="1">
      <c r="A982" t="inlineStr">
        <is>
          <t>A 39979-2023</t>
        </is>
      </c>
      <c r="B982" s="1" t="n">
        <v>45168</v>
      </c>
      <c r="C982" s="1" t="n">
        <v>45792</v>
      </c>
      <c r="D982" t="inlineStr">
        <is>
          <t>VÄSTERBOTTENS LÄN</t>
        </is>
      </c>
      <c r="E982" t="inlineStr">
        <is>
          <t>UMEÅ</t>
        </is>
      </c>
      <c r="F982" t="inlineStr">
        <is>
          <t>Sveaskog</t>
        </is>
      </c>
      <c r="G982" t="n">
        <v>4</v>
      </c>
      <c r="H982" t="n">
        <v>0</v>
      </c>
      <c r="I982" t="n">
        <v>0</v>
      </c>
      <c r="J982" t="n">
        <v>2</v>
      </c>
      <c r="K982" t="n">
        <v>0</v>
      </c>
      <c r="L982" t="n">
        <v>0</v>
      </c>
      <c r="M982" t="n">
        <v>0</v>
      </c>
      <c r="N982" t="n">
        <v>0</v>
      </c>
      <c r="O982" t="n">
        <v>2</v>
      </c>
      <c r="P982" t="n">
        <v>0</v>
      </c>
      <c r="Q982" t="n">
        <v>2</v>
      </c>
      <c r="R982" s="2" t="inlineStr">
        <is>
          <t>Mörk kolflarnlav
Vedskivlav</t>
        </is>
      </c>
      <c r="S982">
        <f>HYPERLINK("https://klasma.github.io/Logging_2480/artfynd/A 39979-2023 artfynd.xlsx", "A 39979-2023")</f>
        <v/>
      </c>
      <c r="T982">
        <f>HYPERLINK("https://klasma.github.io/Logging_2480/kartor/A 39979-2023 karta.png", "A 39979-2023")</f>
        <v/>
      </c>
      <c r="V982">
        <f>HYPERLINK("https://klasma.github.io/Logging_2480/klagomål/A 39979-2023 FSC-klagomål.docx", "A 39979-2023")</f>
        <v/>
      </c>
      <c r="W982">
        <f>HYPERLINK("https://klasma.github.io/Logging_2480/klagomålsmail/A 39979-2023 FSC-klagomål mail.docx", "A 39979-2023")</f>
        <v/>
      </c>
      <c r="X982">
        <f>HYPERLINK("https://klasma.github.io/Logging_2480/tillsyn/A 39979-2023 tillsynsbegäran.docx", "A 39979-2023")</f>
        <v/>
      </c>
      <c r="Y982">
        <f>HYPERLINK("https://klasma.github.io/Logging_2480/tillsynsmail/A 39979-2023 tillsynsbegäran mail.docx", "A 39979-2023")</f>
        <v/>
      </c>
    </row>
    <row r="983" ht="15" customHeight="1">
      <c r="A983" t="inlineStr">
        <is>
          <t>A 40742-2023</t>
        </is>
      </c>
      <c r="B983" s="1" t="n">
        <v>45170</v>
      </c>
      <c r="C983" s="1" t="n">
        <v>45792</v>
      </c>
      <c r="D983" t="inlineStr">
        <is>
          <t>VÄSTERBOTTENS LÄN</t>
        </is>
      </c>
      <c r="E983" t="inlineStr">
        <is>
          <t>SKELLEFTEÅ</t>
        </is>
      </c>
      <c r="F983" t="inlineStr">
        <is>
          <t>Sveaskog</t>
        </is>
      </c>
      <c r="G983" t="n">
        <v>13.6</v>
      </c>
      <c r="H983" t="n">
        <v>0</v>
      </c>
      <c r="I983" t="n">
        <v>1</v>
      </c>
      <c r="J983" t="n">
        <v>1</v>
      </c>
      <c r="K983" t="n">
        <v>0</v>
      </c>
      <c r="L983" t="n">
        <v>0</v>
      </c>
      <c r="M983" t="n">
        <v>0</v>
      </c>
      <c r="N983" t="n">
        <v>0</v>
      </c>
      <c r="O983" t="n">
        <v>1</v>
      </c>
      <c r="P983" t="n">
        <v>0</v>
      </c>
      <c r="Q983" t="n">
        <v>2</v>
      </c>
      <c r="R983" s="2" t="inlineStr">
        <is>
          <t>Kolflarnlav
Stuplav</t>
        </is>
      </c>
      <c r="S983">
        <f>HYPERLINK("https://klasma.github.io/Logging_2482/artfynd/A 40742-2023 artfynd.xlsx", "A 40742-2023")</f>
        <v/>
      </c>
      <c r="T983">
        <f>HYPERLINK("https://klasma.github.io/Logging_2482/kartor/A 40742-2023 karta.png", "A 40742-2023")</f>
        <v/>
      </c>
      <c r="V983">
        <f>HYPERLINK("https://klasma.github.io/Logging_2482/klagomål/A 40742-2023 FSC-klagomål.docx", "A 40742-2023")</f>
        <v/>
      </c>
      <c r="W983">
        <f>HYPERLINK("https://klasma.github.io/Logging_2482/klagomålsmail/A 40742-2023 FSC-klagomål mail.docx", "A 40742-2023")</f>
        <v/>
      </c>
      <c r="X983">
        <f>HYPERLINK("https://klasma.github.io/Logging_2482/tillsyn/A 40742-2023 tillsynsbegäran.docx", "A 40742-2023")</f>
        <v/>
      </c>
      <c r="Y983">
        <f>HYPERLINK("https://klasma.github.io/Logging_2482/tillsynsmail/A 40742-2023 tillsynsbegäran mail.docx", "A 40742-2023")</f>
        <v/>
      </c>
    </row>
    <row r="984" ht="15" customHeight="1">
      <c r="A984" t="inlineStr">
        <is>
          <t>A 41449-2023</t>
        </is>
      </c>
      <c r="B984" s="1" t="n">
        <v>45175</v>
      </c>
      <c r="C984" s="1" t="n">
        <v>45792</v>
      </c>
      <c r="D984" t="inlineStr">
        <is>
          <t>VÄSTERBOTTENS LÄN</t>
        </is>
      </c>
      <c r="E984" t="inlineStr">
        <is>
          <t>LYCKSELE</t>
        </is>
      </c>
      <c r="F984" t="inlineStr">
        <is>
          <t>Sveaskog</t>
        </is>
      </c>
      <c r="G984" t="n">
        <v>4.4</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41449-2023 artfynd.xlsx", "A 41449-2023")</f>
        <v/>
      </c>
      <c r="T984">
        <f>HYPERLINK("https://klasma.github.io/Logging_2481/kartor/A 41449-2023 karta.png", "A 41449-2023")</f>
        <v/>
      </c>
      <c r="V984">
        <f>HYPERLINK("https://klasma.github.io/Logging_2481/klagomål/A 41449-2023 FSC-klagomål.docx", "A 41449-2023")</f>
        <v/>
      </c>
      <c r="W984">
        <f>HYPERLINK("https://klasma.github.io/Logging_2481/klagomålsmail/A 41449-2023 FSC-klagomål mail.docx", "A 41449-2023")</f>
        <v/>
      </c>
      <c r="X984">
        <f>HYPERLINK("https://klasma.github.io/Logging_2481/tillsyn/A 41449-2023 tillsynsbegäran.docx", "A 41449-2023")</f>
        <v/>
      </c>
      <c r="Y984">
        <f>HYPERLINK("https://klasma.github.io/Logging_2481/tillsynsmail/A 41449-2023 tillsynsbegäran mail.docx", "A 41449-2023")</f>
        <v/>
      </c>
    </row>
    <row r="985" ht="15" customHeight="1">
      <c r="A985" t="inlineStr">
        <is>
          <t>A 43250-2023</t>
        </is>
      </c>
      <c r="B985" s="1" t="n">
        <v>45180</v>
      </c>
      <c r="C985" s="1" t="n">
        <v>45792</v>
      </c>
      <c r="D985" t="inlineStr">
        <is>
          <t>VÄSTERBOTTENS LÄN</t>
        </is>
      </c>
      <c r="E985" t="inlineStr">
        <is>
          <t>SKELLEFTEÅ</t>
        </is>
      </c>
      <c r="G985" t="n">
        <v>3.3</v>
      </c>
      <c r="H985" t="n">
        <v>1</v>
      </c>
      <c r="I985" t="n">
        <v>0</v>
      </c>
      <c r="J985" t="n">
        <v>1</v>
      </c>
      <c r="K985" t="n">
        <v>1</v>
      </c>
      <c r="L985" t="n">
        <v>0</v>
      </c>
      <c r="M985" t="n">
        <v>0</v>
      </c>
      <c r="N985" t="n">
        <v>0</v>
      </c>
      <c r="O985" t="n">
        <v>2</v>
      </c>
      <c r="P985" t="n">
        <v>1</v>
      </c>
      <c r="Q985" t="n">
        <v>2</v>
      </c>
      <c r="R985" s="2" t="inlineStr">
        <is>
          <t>Knärot
Gammelgransskål</t>
        </is>
      </c>
      <c r="S985">
        <f>HYPERLINK("https://klasma.github.io/Logging_2482/artfynd/A 43250-2023 artfynd.xlsx", "A 43250-2023")</f>
        <v/>
      </c>
      <c r="T985">
        <f>HYPERLINK("https://klasma.github.io/Logging_2482/kartor/A 43250-2023 karta.png", "A 43250-2023")</f>
        <v/>
      </c>
      <c r="U985">
        <f>HYPERLINK("https://klasma.github.io/Logging_2482/knärot/A 43250-2023 karta knärot.png", "A 43250-2023")</f>
        <v/>
      </c>
      <c r="V985">
        <f>HYPERLINK("https://klasma.github.io/Logging_2482/klagomål/A 43250-2023 FSC-klagomål.docx", "A 43250-2023")</f>
        <v/>
      </c>
      <c r="W985">
        <f>HYPERLINK("https://klasma.github.io/Logging_2482/klagomålsmail/A 43250-2023 FSC-klagomål mail.docx", "A 43250-2023")</f>
        <v/>
      </c>
      <c r="X985">
        <f>HYPERLINK("https://klasma.github.io/Logging_2482/tillsyn/A 43250-2023 tillsynsbegäran.docx", "A 43250-2023")</f>
        <v/>
      </c>
      <c r="Y985">
        <f>HYPERLINK("https://klasma.github.io/Logging_2482/tillsynsmail/A 43250-2023 tillsynsbegäran mail.docx", "A 43250-2023")</f>
        <v/>
      </c>
    </row>
    <row r="986" ht="15" customHeight="1">
      <c r="A986" t="inlineStr">
        <is>
          <t>A 42786-2023</t>
        </is>
      </c>
      <c r="B986" s="1" t="n">
        <v>45181</v>
      </c>
      <c r="C986" s="1" t="n">
        <v>45792</v>
      </c>
      <c r="D986" t="inlineStr">
        <is>
          <t>VÄSTERBOTTENS LÄN</t>
        </is>
      </c>
      <c r="E986" t="inlineStr">
        <is>
          <t>SKELLEFTEÅ</t>
        </is>
      </c>
      <c r="G986" t="n">
        <v>9.199999999999999</v>
      </c>
      <c r="H986" t="n">
        <v>0</v>
      </c>
      <c r="I986" t="n">
        <v>0</v>
      </c>
      <c r="J986" t="n">
        <v>2</v>
      </c>
      <c r="K986" t="n">
        <v>0</v>
      </c>
      <c r="L986" t="n">
        <v>0</v>
      </c>
      <c r="M986" t="n">
        <v>0</v>
      </c>
      <c r="N986" t="n">
        <v>0</v>
      </c>
      <c r="O986" t="n">
        <v>2</v>
      </c>
      <c r="P986" t="n">
        <v>0</v>
      </c>
      <c r="Q986" t="n">
        <v>2</v>
      </c>
      <c r="R986" s="2" t="inlineStr">
        <is>
          <t>Garnlav
Kärrängsfly</t>
        </is>
      </c>
      <c r="S986">
        <f>HYPERLINK("https://klasma.github.io/Logging_2482/artfynd/A 42786-2023 artfynd.xlsx", "A 42786-2023")</f>
        <v/>
      </c>
      <c r="T986">
        <f>HYPERLINK("https://klasma.github.io/Logging_2482/kartor/A 42786-2023 karta.png", "A 42786-2023")</f>
        <v/>
      </c>
      <c r="V986">
        <f>HYPERLINK("https://klasma.github.io/Logging_2482/klagomål/A 42786-2023 FSC-klagomål.docx", "A 42786-2023")</f>
        <v/>
      </c>
      <c r="W986">
        <f>HYPERLINK("https://klasma.github.io/Logging_2482/klagomålsmail/A 42786-2023 FSC-klagomål mail.docx", "A 42786-2023")</f>
        <v/>
      </c>
      <c r="X986">
        <f>HYPERLINK("https://klasma.github.io/Logging_2482/tillsyn/A 42786-2023 tillsynsbegäran.docx", "A 42786-2023")</f>
        <v/>
      </c>
      <c r="Y986">
        <f>HYPERLINK("https://klasma.github.io/Logging_2482/tillsynsmail/A 42786-2023 tillsynsbegäran mail.docx", "A 42786-2023")</f>
        <v/>
      </c>
    </row>
    <row r="987" ht="15" customHeight="1">
      <c r="A987" t="inlineStr">
        <is>
          <t>A 43094-2023</t>
        </is>
      </c>
      <c r="B987" s="1" t="n">
        <v>45182</v>
      </c>
      <c r="C987" s="1" t="n">
        <v>45792</v>
      </c>
      <c r="D987" t="inlineStr">
        <is>
          <t>VÄSTERBOTTENS LÄN</t>
        </is>
      </c>
      <c r="E987" t="inlineStr">
        <is>
          <t>ROBERTSFORS</t>
        </is>
      </c>
      <c r="G987" t="n">
        <v>7.7</v>
      </c>
      <c r="H987" t="n">
        <v>2</v>
      </c>
      <c r="I987" t="n">
        <v>0</v>
      </c>
      <c r="J987" t="n">
        <v>2</v>
      </c>
      <c r="K987" t="n">
        <v>0</v>
      </c>
      <c r="L987" t="n">
        <v>0</v>
      </c>
      <c r="M987" t="n">
        <v>0</v>
      </c>
      <c r="N987" t="n">
        <v>0</v>
      </c>
      <c r="O987" t="n">
        <v>2</v>
      </c>
      <c r="P987" t="n">
        <v>0</v>
      </c>
      <c r="Q987" t="n">
        <v>2</v>
      </c>
      <c r="R987" s="2" t="inlineStr">
        <is>
          <t>Svartvit flugsnappare
Ärtsångare</t>
        </is>
      </c>
      <c r="S987">
        <f>HYPERLINK("https://klasma.github.io/Logging_2409/artfynd/A 43094-2023 artfynd.xlsx", "A 43094-2023")</f>
        <v/>
      </c>
      <c r="T987">
        <f>HYPERLINK("https://klasma.github.io/Logging_2409/kartor/A 43094-2023 karta.png", "A 43094-2023")</f>
        <v/>
      </c>
      <c r="V987">
        <f>HYPERLINK("https://klasma.github.io/Logging_2409/klagomål/A 43094-2023 FSC-klagomål.docx", "A 43094-2023")</f>
        <v/>
      </c>
      <c r="W987">
        <f>HYPERLINK("https://klasma.github.io/Logging_2409/klagomålsmail/A 43094-2023 FSC-klagomål mail.docx", "A 43094-2023")</f>
        <v/>
      </c>
      <c r="X987">
        <f>HYPERLINK("https://klasma.github.io/Logging_2409/tillsyn/A 43094-2023 tillsynsbegäran.docx", "A 43094-2023")</f>
        <v/>
      </c>
      <c r="Y987">
        <f>HYPERLINK("https://klasma.github.io/Logging_2409/tillsynsmail/A 43094-2023 tillsynsbegäran mail.docx", "A 43094-2023")</f>
        <v/>
      </c>
      <c r="Z987">
        <f>HYPERLINK("https://klasma.github.io/Logging_2409/fåglar/A 43094-2023 prioriterade fågelarter.docx", "A 43094-2023")</f>
        <v/>
      </c>
    </row>
    <row r="988" ht="15" customHeight="1">
      <c r="A988" t="inlineStr">
        <is>
          <t>A 45252-2023</t>
        </is>
      </c>
      <c r="B988" s="1" t="n">
        <v>45191</v>
      </c>
      <c r="C988" s="1" t="n">
        <v>45792</v>
      </c>
      <c r="D988" t="inlineStr">
        <is>
          <t>VÄSTERBOTTENS LÄN</t>
        </is>
      </c>
      <c r="E988" t="inlineStr">
        <is>
          <t>ÅSELE</t>
        </is>
      </c>
      <c r="F988" t="inlineStr">
        <is>
          <t>Sveaskog</t>
        </is>
      </c>
      <c r="G988" t="n">
        <v>22.7</v>
      </c>
      <c r="H988" t="n">
        <v>0</v>
      </c>
      <c r="I988" t="n">
        <v>0</v>
      </c>
      <c r="J988" t="n">
        <v>2</v>
      </c>
      <c r="K988" t="n">
        <v>0</v>
      </c>
      <c r="L988" t="n">
        <v>0</v>
      </c>
      <c r="M988" t="n">
        <v>0</v>
      </c>
      <c r="N988" t="n">
        <v>0</v>
      </c>
      <c r="O988" t="n">
        <v>2</v>
      </c>
      <c r="P988" t="n">
        <v>0</v>
      </c>
      <c r="Q988" t="n">
        <v>2</v>
      </c>
      <c r="R988" s="2" t="inlineStr">
        <is>
          <t>Garnlav
Gränsticka</t>
        </is>
      </c>
      <c r="S988">
        <f>HYPERLINK("https://klasma.github.io/Logging_2463/artfynd/A 45252-2023 artfynd.xlsx", "A 45252-2023")</f>
        <v/>
      </c>
      <c r="T988">
        <f>HYPERLINK("https://klasma.github.io/Logging_2463/kartor/A 45252-2023 karta.png", "A 45252-2023")</f>
        <v/>
      </c>
      <c r="V988">
        <f>HYPERLINK("https://klasma.github.io/Logging_2463/klagomål/A 45252-2023 FSC-klagomål.docx", "A 45252-2023")</f>
        <v/>
      </c>
      <c r="W988">
        <f>HYPERLINK("https://klasma.github.io/Logging_2463/klagomålsmail/A 45252-2023 FSC-klagomål mail.docx", "A 45252-2023")</f>
        <v/>
      </c>
      <c r="X988">
        <f>HYPERLINK("https://klasma.github.io/Logging_2463/tillsyn/A 45252-2023 tillsynsbegäran.docx", "A 45252-2023")</f>
        <v/>
      </c>
      <c r="Y988">
        <f>HYPERLINK("https://klasma.github.io/Logging_2463/tillsynsmail/A 45252-2023 tillsynsbegäran mail.docx", "A 45252-2023")</f>
        <v/>
      </c>
    </row>
    <row r="989" ht="15" customHeight="1">
      <c r="A989" t="inlineStr">
        <is>
          <t>A 46563-2023</t>
        </is>
      </c>
      <c r="B989" s="1" t="n">
        <v>45198</v>
      </c>
      <c r="C989" s="1" t="n">
        <v>45792</v>
      </c>
      <c r="D989" t="inlineStr">
        <is>
          <t>VÄSTERBOTTENS LÄN</t>
        </is>
      </c>
      <c r="E989" t="inlineStr">
        <is>
          <t>UMEÅ</t>
        </is>
      </c>
      <c r="F989" t="inlineStr">
        <is>
          <t>Holmen skog AB</t>
        </is>
      </c>
      <c r="G989" t="n">
        <v>4.7</v>
      </c>
      <c r="H989" t="n">
        <v>0</v>
      </c>
      <c r="I989" t="n">
        <v>1</v>
      </c>
      <c r="J989" t="n">
        <v>1</v>
      </c>
      <c r="K989" t="n">
        <v>0</v>
      </c>
      <c r="L989" t="n">
        <v>0</v>
      </c>
      <c r="M989" t="n">
        <v>0</v>
      </c>
      <c r="N989" t="n">
        <v>0</v>
      </c>
      <c r="O989" t="n">
        <v>1</v>
      </c>
      <c r="P989" t="n">
        <v>0</v>
      </c>
      <c r="Q989" t="n">
        <v>2</v>
      </c>
      <c r="R989" s="2" t="inlineStr">
        <is>
          <t>Garnlav
Dropptaggsvamp</t>
        </is>
      </c>
      <c r="S989">
        <f>HYPERLINK("https://klasma.github.io/Logging_2480/artfynd/A 46563-2023 artfynd.xlsx", "A 46563-2023")</f>
        <v/>
      </c>
      <c r="T989">
        <f>HYPERLINK("https://klasma.github.io/Logging_2480/kartor/A 46563-2023 karta.png", "A 46563-2023")</f>
        <v/>
      </c>
      <c r="V989">
        <f>HYPERLINK("https://klasma.github.io/Logging_2480/klagomål/A 46563-2023 FSC-klagomål.docx", "A 46563-2023")</f>
        <v/>
      </c>
      <c r="W989">
        <f>HYPERLINK("https://klasma.github.io/Logging_2480/klagomålsmail/A 46563-2023 FSC-klagomål mail.docx", "A 46563-2023")</f>
        <v/>
      </c>
      <c r="X989">
        <f>HYPERLINK("https://klasma.github.io/Logging_2480/tillsyn/A 46563-2023 tillsynsbegäran.docx", "A 46563-2023")</f>
        <v/>
      </c>
      <c r="Y989">
        <f>HYPERLINK("https://klasma.github.io/Logging_2480/tillsynsmail/A 46563-2023 tillsynsbegäran mail.docx", "A 46563-2023")</f>
        <v/>
      </c>
    </row>
    <row r="990" ht="15" customHeight="1">
      <c r="A990" t="inlineStr">
        <is>
          <t>A 47038-2023</t>
        </is>
      </c>
      <c r="B990" s="1" t="n">
        <v>45201</v>
      </c>
      <c r="C990" s="1" t="n">
        <v>45792</v>
      </c>
      <c r="D990" t="inlineStr">
        <is>
          <t>VÄSTERBOTTENS LÄN</t>
        </is>
      </c>
      <c r="E990" t="inlineStr">
        <is>
          <t>LYCKSELE</t>
        </is>
      </c>
      <c r="F990" t="inlineStr">
        <is>
          <t>Sveaskog</t>
        </is>
      </c>
      <c r="G990" t="n">
        <v>8.800000000000001</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47038-2023 artfynd.xlsx", "A 47038-2023")</f>
        <v/>
      </c>
      <c r="T990">
        <f>HYPERLINK("https://klasma.github.io/Logging_2481/kartor/A 47038-2023 karta.png", "A 47038-2023")</f>
        <v/>
      </c>
      <c r="V990">
        <f>HYPERLINK("https://klasma.github.io/Logging_2481/klagomål/A 47038-2023 FSC-klagomål.docx", "A 47038-2023")</f>
        <v/>
      </c>
      <c r="W990">
        <f>HYPERLINK("https://klasma.github.io/Logging_2481/klagomålsmail/A 47038-2023 FSC-klagomål mail.docx", "A 47038-2023")</f>
        <v/>
      </c>
      <c r="X990">
        <f>HYPERLINK("https://klasma.github.io/Logging_2481/tillsyn/A 47038-2023 tillsynsbegäran.docx", "A 47038-2023")</f>
        <v/>
      </c>
      <c r="Y990">
        <f>HYPERLINK("https://klasma.github.io/Logging_2481/tillsynsmail/A 47038-2023 tillsynsbegäran mail.docx", "A 47038-2023")</f>
        <v/>
      </c>
    </row>
    <row r="991" ht="15" customHeight="1">
      <c r="A991" t="inlineStr">
        <is>
          <t>A 47041-2023</t>
        </is>
      </c>
      <c r="B991" s="1" t="n">
        <v>45201</v>
      </c>
      <c r="C991" s="1" t="n">
        <v>45792</v>
      </c>
      <c r="D991" t="inlineStr">
        <is>
          <t>VÄSTERBOTTENS LÄN</t>
        </is>
      </c>
      <c r="E991" t="inlineStr">
        <is>
          <t>LYCKSELE</t>
        </is>
      </c>
      <c r="F991" t="inlineStr">
        <is>
          <t>Sveaskog</t>
        </is>
      </c>
      <c r="G991" t="n">
        <v>7.5</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HYPERLINK("https://klasma.github.io/Logging_2481/artfynd/A 47041-2023 artfynd.xlsx", "A 47041-2023")</f>
        <v/>
      </c>
      <c r="T991">
        <f>HYPERLINK("https://klasma.github.io/Logging_2481/kartor/A 47041-2023 karta.png", "A 47041-2023")</f>
        <v/>
      </c>
      <c r="V991">
        <f>HYPERLINK("https://klasma.github.io/Logging_2481/klagomål/A 47041-2023 FSC-klagomål.docx", "A 47041-2023")</f>
        <v/>
      </c>
      <c r="W991">
        <f>HYPERLINK("https://klasma.github.io/Logging_2481/klagomålsmail/A 47041-2023 FSC-klagomål mail.docx", "A 47041-2023")</f>
        <v/>
      </c>
      <c r="X991">
        <f>HYPERLINK("https://klasma.github.io/Logging_2481/tillsyn/A 47041-2023 tillsynsbegäran.docx", "A 47041-2023")</f>
        <v/>
      </c>
      <c r="Y991">
        <f>HYPERLINK("https://klasma.github.io/Logging_2481/tillsynsmail/A 47041-2023 tillsynsbegäran mail.docx", "A 47041-2023")</f>
        <v/>
      </c>
    </row>
    <row r="992" ht="15" customHeight="1">
      <c r="A992" t="inlineStr">
        <is>
          <t>A 48916-2023</t>
        </is>
      </c>
      <c r="B992" s="1" t="n">
        <v>45209</v>
      </c>
      <c r="C992" s="1" t="n">
        <v>45792</v>
      </c>
      <c r="D992" t="inlineStr">
        <is>
          <t>VÄSTERBOTTENS LÄN</t>
        </is>
      </c>
      <c r="E992" t="inlineStr">
        <is>
          <t>UMEÅ</t>
        </is>
      </c>
      <c r="G992" t="n">
        <v>5.4</v>
      </c>
      <c r="H992" t="n">
        <v>1</v>
      </c>
      <c r="I992" t="n">
        <v>0</v>
      </c>
      <c r="J992" t="n">
        <v>2</v>
      </c>
      <c r="K992" t="n">
        <v>0</v>
      </c>
      <c r="L992" t="n">
        <v>0</v>
      </c>
      <c r="M992" t="n">
        <v>0</v>
      </c>
      <c r="N992" t="n">
        <v>0</v>
      </c>
      <c r="O992" t="n">
        <v>2</v>
      </c>
      <c r="P992" t="n">
        <v>0</v>
      </c>
      <c r="Q992" t="n">
        <v>2</v>
      </c>
      <c r="R992" s="2" t="inlineStr">
        <is>
          <t>Garnlav
Tretåig hackspett</t>
        </is>
      </c>
      <c r="S992">
        <f>HYPERLINK("https://klasma.github.io/Logging_2480/artfynd/A 48916-2023 artfynd.xlsx", "A 48916-2023")</f>
        <v/>
      </c>
      <c r="T992">
        <f>HYPERLINK("https://klasma.github.io/Logging_2480/kartor/A 48916-2023 karta.png", "A 48916-2023")</f>
        <v/>
      </c>
      <c r="V992">
        <f>HYPERLINK("https://klasma.github.io/Logging_2480/klagomål/A 48916-2023 FSC-klagomål.docx", "A 48916-2023")</f>
        <v/>
      </c>
      <c r="W992">
        <f>HYPERLINK("https://klasma.github.io/Logging_2480/klagomålsmail/A 48916-2023 FSC-klagomål mail.docx", "A 48916-2023")</f>
        <v/>
      </c>
      <c r="X992">
        <f>HYPERLINK("https://klasma.github.io/Logging_2480/tillsyn/A 48916-2023 tillsynsbegäran.docx", "A 48916-2023")</f>
        <v/>
      </c>
      <c r="Y992">
        <f>HYPERLINK("https://klasma.github.io/Logging_2480/tillsynsmail/A 48916-2023 tillsynsbegäran mail.docx", "A 48916-2023")</f>
        <v/>
      </c>
      <c r="Z992">
        <f>HYPERLINK("https://klasma.github.io/Logging_2480/fåglar/A 48916-2023 prioriterade fågelarter.docx", "A 48916-2023")</f>
        <v/>
      </c>
    </row>
    <row r="993" ht="15" customHeight="1">
      <c r="A993" t="inlineStr">
        <is>
          <t>A 52328-2023</t>
        </is>
      </c>
      <c r="B993" s="1" t="n">
        <v>45224</v>
      </c>
      <c r="C993" s="1" t="n">
        <v>45792</v>
      </c>
      <c r="D993" t="inlineStr">
        <is>
          <t>VÄSTERBOTTENS LÄN</t>
        </is>
      </c>
      <c r="E993" t="inlineStr">
        <is>
          <t>VINDELN</t>
        </is>
      </c>
      <c r="F993" t="inlineStr">
        <is>
          <t>Sveaskog</t>
        </is>
      </c>
      <c r="G993" t="n">
        <v>6.2</v>
      </c>
      <c r="H993" t="n">
        <v>0</v>
      </c>
      <c r="I993" t="n">
        <v>1</v>
      </c>
      <c r="J993" t="n">
        <v>1</v>
      </c>
      <c r="K993" t="n">
        <v>0</v>
      </c>
      <c r="L993" t="n">
        <v>0</v>
      </c>
      <c r="M993" t="n">
        <v>0</v>
      </c>
      <c r="N993" t="n">
        <v>0</v>
      </c>
      <c r="O993" t="n">
        <v>1</v>
      </c>
      <c r="P993" t="n">
        <v>0</v>
      </c>
      <c r="Q993" t="n">
        <v>2</v>
      </c>
      <c r="R993" s="2" t="inlineStr">
        <is>
          <t>Garnlav
Vedticka</t>
        </is>
      </c>
      <c r="S993">
        <f>HYPERLINK("https://klasma.github.io/Logging_2404/artfynd/A 52328-2023 artfynd.xlsx", "A 52328-2023")</f>
        <v/>
      </c>
      <c r="T993">
        <f>HYPERLINK("https://klasma.github.io/Logging_2404/kartor/A 52328-2023 karta.png", "A 52328-2023")</f>
        <v/>
      </c>
      <c r="V993">
        <f>HYPERLINK("https://klasma.github.io/Logging_2404/klagomål/A 52328-2023 FSC-klagomål.docx", "A 52328-2023")</f>
        <v/>
      </c>
      <c r="W993">
        <f>HYPERLINK("https://klasma.github.io/Logging_2404/klagomålsmail/A 52328-2023 FSC-klagomål mail.docx", "A 52328-2023")</f>
        <v/>
      </c>
      <c r="X993">
        <f>HYPERLINK("https://klasma.github.io/Logging_2404/tillsyn/A 52328-2023 tillsynsbegäran.docx", "A 52328-2023")</f>
        <v/>
      </c>
      <c r="Y993">
        <f>HYPERLINK("https://klasma.github.io/Logging_2404/tillsynsmail/A 52328-2023 tillsynsbegäran mail.docx", "A 52328-2023")</f>
        <v/>
      </c>
    </row>
    <row r="994" ht="15" customHeight="1">
      <c r="A994" t="inlineStr">
        <is>
          <t>A 52484-2023</t>
        </is>
      </c>
      <c r="B994" s="1" t="n">
        <v>45225</v>
      </c>
      <c r="C994" s="1" t="n">
        <v>45792</v>
      </c>
      <c r="D994" t="inlineStr">
        <is>
          <t>VÄSTERBOTTENS LÄN</t>
        </is>
      </c>
      <c r="E994" t="inlineStr">
        <is>
          <t>SKELLEFTEÅ</t>
        </is>
      </c>
      <c r="G994" t="n">
        <v>2.4</v>
      </c>
      <c r="H994" t="n">
        <v>2</v>
      </c>
      <c r="I994" t="n">
        <v>0</v>
      </c>
      <c r="J994" t="n">
        <v>2</v>
      </c>
      <c r="K994" t="n">
        <v>0</v>
      </c>
      <c r="L994" t="n">
        <v>0</v>
      </c>
      <c r="M994" t="n">
        <v>0</v>
      </c>
      <c r="N994" t="n">
        <v>0</v>
      </c>
      <c r="O994" t="n">
        <v>2</v>
      </c>
      <c r="P994" t="n">
        <v>0</v>
      </c>
      <c r="Q994" t="n">
        <v>2</v>
      </c>
      <c r="R994" s="2" t="inlineStr">
        <is>
          <t>Blå kärrhök
Pilgrimsfalk</t>
        </is>
      </c>
      <c r="S994">
        <f>HYPERLINK("https://klasma.github.io/Logging_2482/artfynd/A 52484-2023 artfynd.xlsx", "A 52484-2023")</f>
        <v/>
      </c>
      <c r="T994">
        <f>HYPERLINK("https://klasma.github.io/Logging_2482/kartor/A 52484-2023 karta.png", "A 52484-2023")</f>
        <v/>
      </c>
      <c r="V994">
        <f>HYPERLINK("https://klasma.github.io/Logging_2482/klagomål/A 52484-2023 FSC-klagomål.docx", "A 52484-2023")</f>
        <v/>
      </c>
      <c r="W994">
        <f>HYPERLINK("https://klasma.github.io/Logging_2482/klagomålsmail/A 52484-2023 FSC-klagomål mail.docx", "A 52484-2023")</f>
        <v/>
      </c>
      <c r="X994">
        <f>HYPERLINK("https://klasma.github.io/Logging_2482/tillsyn/A 52484-2023 tillsynsbegäran.docx", "A 52484-2023")</f>
        <v/>
      </c>
      <c r="Y994">
        <f>HYPERLINK("https://klasma.github.io/Logging_2482/tillsynsmail/A 52484-2023 tillsynsbegäran mail.docx", "A 52484-2023")</f>
        <v/>
      </c>
      <c r="Z994">
        <f>HYPERLINK("https://klasma.github.io/Logging_2482/fåglar/A 52484-2023 prioriterade fågelarter.docx", "A 52484-2023")</f>
        <v/>
      </c>
    </row>
    <row r="995" ht="15" customHeight="1">
      <c r="A995" t="inlineStr">
        <is>
          <t>A 52738-2023</t>
        </is>
      </c>
      <c r="B995" s="1" t="n">
        <v>45225</v>
      </c>
      <c r="C995" s="1" t="n">
        <v>45792</v>
      </c>
      <c r="D995" t="inlineStr">
        <is>
          <t>VÄSTERBOTTENS LÄN</t>
        </is>
      </c>
      <c r="E995" t="inlineStr">
        <is>
          <t>DOROTEA</t>
        </is>
      </c>
      <c r="F995" t="inlineStr">
        <is>
          <t>SCA</t>
        </is>
      </c>
      <c r="G995" t="n">
        <v>8.800000000000001</v>
      </c>
      <c r="H995" t="n">
        <v>1</v>
      </c>
      <c r="I995" t="n">
        <v>1</v>
      </c>
      <c r="J995" t="n">
        <v>0</v>
      </c>
      <c r="K995" t="n">
        <v>1</v>
      </c>
      <c r="L995" t="n">
        <v>0</v>
      </c>
      <c r="M995" t="n">
        <v>0</v>
      </c>
      <c r="N995" t="n">
        <v>0</v>
      </c>
      <c r="O995" t="n">
        <v>1</v>
      </c>
      <c r="P995" t="n">
        <v>1</v>
      </c>
      <c r="Q995" t="n">
        <v>2</v>
      </c>
      <c r="R995" s="2" t="inlineStr">
        <is>
          <t>Doftticka
Trådticka</t>
        </is>
      </c>
      <c r="S995">
        <f>HYPERLINK("https://klasma.github.io/Logging_2425/artfynd/A 52738-2023 artfynd.xlsx", "A 52738-2023")</f>
        <v/>
      </c>
      <c r="T995">
        <f>HYPERLINK("https://klasma.github.io/Logging_2425/kartor/A 52738-2023 karta.png", "A 52738-2023")</f>
        <v/>
      </c>
      <c r="V995">
        <f>HYPERLINK("https://klasma.github.io/Logging_2425/klagomål/A 52738-2023 FSC-klagomål.docx", "A 52738-2023")</f>
        <v/>
      </c>
      <c r="W995">
        <f>HYPERLINK("https://klasma.github.io/Logging_2425/klagomålsmail/A 52738-2023 FSC-klagomål mail.docx", "A 52738-2023")</f>
        <v/>
      </c>
      <c r="X995">
        <f>HYPERLINK("https://klasma.github.io/Logging_2425/tillsyn/A 52738-2023 tillsynsbegäran.docx", "A 52738-2023")</f>
        <v/>
      </c>
      <c r="Y995">
        <f>HYPERLINK("https://klasma.github.io/Logging_2425/tillsynsmail/A 52738-2023 tillsynsbegäran mail.docx", "A 52738-2023")</f>
        <v/>
      </c>
    </row>
    <row r="996" ht="15" customHeight="1">
      <c r="A996" t="inlineStr">
        <is>
          <t>A 53753-2023</t>
        </is>
      </c>
      <c r="B996" s="1" t="n">
        <v>45230</v>
      </c>
      <c r="C996" s="1" t="n">
        <v>45792</v>
      </c>
      <c r="D996" t="inlineStr">
        <is>
          <t>VÄSTERBOTTENS LÄN</t>
        </is>
      </c>
      <c r="E996" t="inlineStr">
        <is>
          <t>DOROTEA</t>
        </is>
      </c>
      <c r="G996" t="n">
        <v>19.6</v>
      </c>
      <c r="H996" t="n">
        <v>1</v>
      </c>
      <c r="I996" t="n">
        <v>1</v>
      </c>
      <c r="J996" t="n">
        <v>0</v>
      </c>
      <c r="K996" t="n">
        <v>0</v>
      </c>
      <c r="L996" t="n">
        <v>0</v>
      </c>
      <c r="M996" t="n">
        <v>0</v>
      </c>
      <c r="N996" t="n">
        <v>0</v>
      </c>
      <c r="O996" t="n">
        <v>0</v>
      </c>
      <c r="P996" t="n">
        <v>0</v>
      </c>
      <c r="Q996" t="n">
        <v>2</v>
      </c>
      <c r="R996" s="2" t="inlineStr">
        <is>
          <t>Tibast
Skogsrör</t>
        </is>
      </c>
      <c r="S996">
        <f>HYPERLINK("https://klasma.github.io/Logging_2425/artfynd/A 53753-2023 artfynd.xlsx", "A 53753-2023")</f>
        <v/>
      </c>
      <c r="T996">
        <f>HYPERLINK("https://klasma.github.io/Logging_2425/kartor/A 53753-2023 karta.png", "A 53753-2023")</f>
        <v/>
      </c>
      <c r="V996">
        <f>HYPERLINK("https://klasma.github.io/Logging_2425/klagomål/A 53753-2023 FSC-klagomål.docx", "A 53753-2023")</f>
        <v/>
      </c>
      <c r="W996">
        <f>HYPERLINK("https://klasma.github.io/Logging_2425/klagomålsmail/A 53753-2023 FSC-klagomål mail.docx", "A 53753-2023")</f>
        <v/>
      </c>
      <c r="X996">
        <f>HYPERLINK("https://klasma.github.io/Logging_2425/tillsyn/A 53753-2023 tillsynsbegäran.docx", "A 53753-2023")</f>
        <v/>
      </c>
      <c r="Y996">
        <f>HYPERLINK("https://klasma.github.io/Logging_2425/tillsynsmail/A 53753-2023 tillsynsbegäran mail.docx", "A 53753-2023")</f>
        <v/>
      </c>
    </row>
    <row r="997" ht="15" customHeight="1">
      <c r="A997" t="inlineStr">
        <is>
          <t>A 53809-2023</t>
        </is>
      </c>
      <c r="B997" s="1" t="n">
        <v>45231</v>
      </c>
      <c r="C997" s="1" t="n">
        <v>45792</v>
      </c>
      <c r="D997" t="inlineStr">
        <is>
          <t>VÄSTERBOTTENS LÄN</t>
        </is>
      </c>
      <c r="E997" t="inlineStr">
        <is>
          <t>LYCKSELE</t>
        </is>
      </c>
      <c r="F997" t="inlineStr">
        <is>
          <t>Sveaskog</t>
        </is>
      </c>
      <c r="G997" t="n">
        <v>25.1</v>
      </c>
      <c r="H997" t="n">
        <v>0</v>
      </c>
      <c r="I997" t="n">
        <v>1</v>
      </c>
      <c r="J997" t="n">
        <v>1</v>
      </c>
      <c r="K997" t="n">
        <v>0</v>
      </c>
      <c r="L997" t="n">
        <v>0</v>
      </c>
      <c r="M997" t="n">
        <v>0</v>
      </c>
      <c r="N997" t="n">
        <v>0</v>
      </c>
      <c r="O997" t="n">
        <v>1</v>
      </c>
      <c r="P997" t="n">
        <v>0</v>
      </c>
      <c r="Q997" t="n">
        <v>2</v>
      </c>
      <c r="R997" s="2" t="inlineStr">
        <is>
          <t>Skrovlig taggsvamp
Stuplav</t>
        </is>
      </c>
      <c r="S997">
        <f>HYPERLINK("https://klasma.github.io/Logging_2481/artfynd/A 53809-2023 artfynd.xlsx", "A 53809-2023")</f>
        <v/>
      </c>
      <c r="T997">
        <f>HYPERLINK("https://klasma.github.io/Logging_2481/kartor/A 53809-2023 karta.png", "A 53809-2023")</f>
        <v/>
      </c>
      <c r="V997">
        <f>HYPERLINK("https://klasma.github.io/Logging_2481/klagomål/A 53809-2023 FSC-klagomål.docx", "A 53809-2023")</f>
        <v/>
      </c>
      <c r="W997">
        <f>HYPERLINK("https://klasma.github.io/Logging_2481/klagomålsmail/A 53809-2023 FSC-klagomål mail.docx", "A 53809-2023")</f>
        <v/>
      </c>
      <c r="X997">
        <f>HYPERLINK("https://klasma.github.io/Logging_2481/tillsyn/A 53809-2023 tillsynsbegäran.docx", "A 53809-2023")</f>
        <v/>
      </c>
      <c r="Y997">
        <f>HYPERLINK("https://klasma.github.io/Logging_2481/tillsynsmail/A 53809-2023 tillsynsbegäran mail.docx", "A 53809-2023")</f>
        <v/>
      </c>
    </row>
    <row r="998" ht="15" customHeight="1">
      <c r="A998" t="inlineStr">
        <is>
          <t>A 55632-2023</t>
        </is>
      </c>
      <c r="B998" s="1" t="n">
        <v>45238</v>
      </c>
      <c r="C998" s="1" t="n">
        <v>45792</v>
      </c>
      <c r="D998" t="inlineStr">
        <is>
          <t>VÄSTERBOTTENS LÄN</t>
        </is>
      </c>
      <c r="E998" t="inlineStr">
        <is>
          <t>NORDMALING</t>
        </is>
      </c>
      <c r="G998" t="n">
        <v>1</v>
      </c>
      <c r="H998" t="n">
        <v>0</v>
      </c>
      <c r="I998" t="n">
        <v>1</v>
      </c>
      <c r="J998" t="n">
        <v>1</v>
      </c>
      <c r="K998" t="n">
        <v>0</v>
      </c>
      <c r="L998" t="n">
        <v>0</v>
      </c>
      <c r="M998" t="n">
        <v>0</v>
      </c>
      <c r="N998" t="n">
        <v>0</v>
      </c>
      <c r="O998" t="n">
        <v>1</v>
      </c>
      <c r="P998" t="n">
        <v>0</v>
      </c>
      <c r="Q998" t="n">
        <v>2</v>
      </c>
      <c r="R998" s="2" t="inlineStr">
        <is>
          <t>Garnlav
Skinnlav</t>
        </is>
      </c>
      <c r="S998">
        <f>HYPERLINK("https://klasma.github.io/Logging_2401/artfynd/A 55632-2023 artfynd.xlsx", "A 55632-2023")</f>
        <v/>
      </c>
      <c r="T998">
        <f>HYPERLINK("https://klasma.github.io/Logging_2401/kartor/A 55632-2023 karta.png", "A 55632-2023")</f>
        <v/>
      </c>
      <c r="V998">
        <f>HYPERLINK("https://klasma.github.io/Logging_2401/klagomål/A 55632-2023 FSC-klagomål.docx", "A 55632-2023")</f>
        <v/>
      </c>
      <c r="W998">
        <f>HYPERLINK("https://klasma.github.io/Logging_2401/klagomålsmail/A 55632-2023 FSC-klagomål mail.docx", "A 55632-2023")</f>
        <v/>
      </c>
      <c r="X998">
        <f>HYPERLINK("https://klasma.github.io/Logging_2401/tillsyn/A 55632-2023 tillsynsbegäran.docx", "A 55632-2023")</f>
        <v/>
      </c>
      <c r="Y998">
        <f>HYPERLINK("https://klasma.github.io/Logging_2401/tillsynsmail/A 55632-2023 tillsynsbegäran mail.docx", "A 55632-2023")</f>
        <v/>
      </c>
    </row>
    <row r="999" ht="15" customHeight="1">
      <c r="A999" t="inlineStr">
        <is>
          <t>A 57674-2023</t>
        </is>
      </c>
      <c r="B999" s="1" t="n">
        <v>45246</v>
      </c>
      <c r="C999" s="1" t="n">
        <v>45792</v>
      </c>
      <c r="D999" t="inlineStr">
        <is>
          <t>VÄSTERBOTTENS LÄN</t>
        </is>
      </c>
      <c r="E999" t="inlineStr">
        <is>
          <t>ROBERTSFORS</t>
        </is>
      </c>
      <c r="F999" t="inlineStr">
        <is>
          <t>Sveaskog</t>
        </is>
      </c>
      <c r="G999" t="n">
        <v>2.2</v>
      </c>
      <c r="H999" t="n">
        <v>0</v>
      </c>
      <c r="I999" t="n">
        <v>1</v>
      </c>
      <c r="J999" t="n">
        <v>1</v>
      </c>
      <c r="K999" t="n">
        <v>0</v>
      </c>
      <c r="L999" t="n">
        <v>0</v>
      </c>
      <c r="M999" t="n">
        <v>0</v>
      </c>
      <c r="N999" t="n">
        <v>0</v>
      </c>
      <c r="O999" t="n">
        <v>1</v>
      </c>
      <c r="P999" t="n">
        <v>0</v>
      </c>
      <c r="Q999" t="n">
        <v>2</v>
      </c>
      <c r="R999" s="2" t="inlineStr">
        <is>
          <t>Motaggsvamp
Dropptaggsvamp</t>
        </is>
      </c>
      <c r="S999">
        <f>HYPERLINK("https://klasma.github.io/Logging_2409/artfynd/A 57674-2023 artfynd.xlsx", "A 57674-2023")</f>
        <v/>
      </c>
      <c r="T999">
        <f>HYPERLINK("https://klasma.github.io/Logging_2409/kartor/A 57674-2023 karta.png", "A 57674-2023")</f>
        <v/>
      </c>
      <c r="V999">
        <f>HYPERLINK("https://klasma.github.io/Logging_2409/klagomål/A 57674-2023 FSC-klagomål.docx", "A 57674-2023")</f>
        <v/>
      </c>
      <c r="W999">
        <f>HYPERLINK("https://klasma.github.io/Logging_2409/klagomålsmail/A 57674-2023 FSC-klagomål mail.docx", "A 57674-2023")</f>
        <v/>
      </c>
      <c r="X999">
        <f>HYPERLINK("https://klasma.github.io/Logging_2409/tillsyn/A 57674-2023 tillsynsbegäran.docx", "A 57674-2023")</f>
        <v/>
      </c>
      <c r="Y999">
        <f>HYPERLINK("https://klasma.github.io/Logging_2409/tillsynsmail/A 57674-2023 tillsynsbegäran mail.docx", "A 57674-2023")</f>
        <v/>
      </c>
    </row>
    <row r="1000" ht="15" customHeight="1">
      <c r="A1000" t="inlineStr">
        <is>
          <t>A 62191-2023</t>
        </is>
      </c>
      <c r="B1000" s="1" t="n">
        <v>45267</v>
      </c>
      <c r="C1000" s="1" t="n">
        <v>45792</v>
      </c>
      <c r="D1000" t="inlineStr">
        <is>
          <t>VÄSTERBOTTENS LÄN</t>
        </is>
      </c>
      <c r="E1000" t="inlineStr">
        <is>
          <t>SKELLEFTEÅ</t>
        </is>
      </c>
      <c r="G1000" t="n">
        <v>14.5</v>
      </c>
      <c r="H1000" t="n">
        <v>1</v>
      </c>
      <c r="I1000" t="n">
        <v>0</v>
      </c>
      <c r="J1000" t="n">
        <v>1</v>
      </c>
      <c r="K1000" t="n">
        <v>1</v>
      </c>
      <c r="L1000" t="n">
        <v>0</v>
      </c>
      <c r="M1000" t="n">
        <v>0</v>
      </c>
      <c r="N1000" t="n">
        <v>0</v>
      </c>
      <c r="O1000" t="n">
        <v>2</v>
      </c>
      <c r="P1000" t="n">
        <v>1</v>
      </c>
      <c r="Q1000" t="n">
        <v>2</v>
      </c>
      <c r="R1000" s="2" t="inlineStr">
        <is>
          <t>Knärot
Lunglav</t>
        </is>
      </c>
      <c r="S1000">
        <f>HYPERLINK("https://klasma.github.io/Logging_2482/artfynd/A 62191-2023 artfynd.xlsx", "A 62191-2023")</f>
        <v/>
      </c>
      <c r="T1000">
        <f>HYPERLINK("https://klasma.github.io/Logging_2482/kartor/A 62191-2023 karta.png", "A 62191-2023")</f>
        <v/>
      </c>
      <c r="U1000">
        <f>HYPERLINK("https://klasma.github.io/Logging_2482/knärot/A 62191-2023 karta knärot.png", "A 62191-2023")</f>
        <v/>
      </c>
      <c r="V1000">
        <f>HYPERLINK("https://klasma.github.io/Logging_2482/klagomål/A 62191-2023 FSC-klagomål.docx", "A 62191-2023")</f>
        <v/>
      </c>
      <c r="W1000">
        <f>HYPERLINK("https://klasma.github.io/Logging_2482/klagomålsmail/A 62191-2023 FSC-klagomål mail.docx", "A 62191-2023")</f>
        <v/>
      </c>
      <c r="X1000">
        <f>HYPERLINK("https://klasma.github.io/Logging_2482/tillsyn/A 62191-2023 tillsynsbegäran.docx", "A 62191-2023")</f>
        <v/>
      </c>
      <c r="Y1000">
        <f>HYPERLINK("https://klasma.github.io/Logging_2482/tillsynsmail/A 62191-2023 tillsynsbegäran mail.docx", "A 62191-2023")</f>
        <v/>
      </c>
    </row>
    <row r="1001" ht="15" customHeight="1">
      <c r="A1001" t="inlineStr">
        <is>
          <t>A 64030-2023</t>
        </is>
      </c>
      <c r="B1001" s="1" t="n">
        <v>45278</v>
      </c>
      <c r="C1001" s="1" t="n">
        <v>45792</v>
      </c>
      <c r="D1001" t="inlineStr">
        <is>
          <t>VÄSTERBOTTENS LÄN</t>
        </is>
      </c>
      <c r="E1001" t="inlineStr">
        <is>
          <t>VILHELMINA</t>
        </is>
      </c>
      <c r="F1001" t="inlineStr">
        <is>
          <t>SCA</t>
        </is>
      </c>
      <c r="G1001" t="n">
        <v>1.7</v>
      </c>
      <c r="H1001" t="n">
        <v>1</v>
      </c>
      <c r="I1001" t="n">
        <v>0</v>
      </c>
      <c r="J1001" t="n">
        <v>2</v>
      </c>
      <c r="K1001" t="n">
        <v>0</v>
      </c>
      <c r="L1001" t="n">
        <v>0</v>
      </c>
      <c r="M1001" t="n">
        <v>0</v>
      </c>
      <c r="N1001" t="n">
        <v>0</v>
      </c>
      <c r="O1001" t="n">
        <v>2</v>
      </c>
      <c r="P1001" t="n">
        <v>0</v>
      </c>
      <c r="Q1001" t="n">
        <v>2</v>
      </c>
      <c r="R1001" s="2" t="inlineStr">
        <is>
          <t>Tretåig hackspett
Ullticka</t>
        </is>
      </c>
      <c r="S1001">
        <f>HYPERLINK("https://klasma.github.io/Logging_2462/artfynd/A 64030-2023 artfynd.xlsx", "A 64030-2023")</f>
        <v/>
      </c>
      <c r="T1001">
        <f>HYPERLINK("https://klasma.github.io/Logging_2462/kartor/A 64030-2023 karta.png", "A 64030-2023")</f>
        <v/>
      </c>
      <c r="V1001">
        <f>HYPERLINK("https://klasma.github.io/Logging_2462/klagomål/A 64030-2023 FSC-klagomål.docx", "A 64030-2023")</f>
        <v/>
      </c>
      <c r="W1001">
        <f>HYPERLINK("https://klasma.github.io/Logging_2462/klagomålsmail/A 64030-2023 FSC-klagomål mail.docx", "A 64030-2023")</f>
        <v/>
      </c>
      <c r="X1001">
        <f>HYPERLINK("https://klasma.github.io/Logging_2462/tillsyn/A 64030-2023 tillsynsbegäran.docx", "A 64030-2023")</f>
        <v/>
      </c>
      <c r="Y1001">
        <f>HYPERLINK("https://klasma.github.io/Logging_2462/tillsynsmail/A 64030-2023 tillsynsbegäran mail.docx", "A 64030-2023")</f>
        <v/>
      </c>
      <c r="Z1001">
        <f>HYPERLINK("https://klasma.github.io/Logging_2462/fåglar/A 64030-2023 prioriterade fågelarter.docx", "A 64030-2023")</f>
        <v/>
      </c>
    </row>
    <row r="1002" ht="15" customHeight="1">
      <c r="A1002" t="inlineStr">
        <is>
          <t>A 65043-2023</t>
        </is>
      </c>
      <c r="B1002" s="1" t="n">
        <v>45283</v>
      </c>
      <c r="C1002" s="1" t="n">
        <v>45792</v>
      </c>
      <c r="D1002" t="inlineStr">
        <is>
          <t>VÄSTERBOTTENS LÄN</t>
        </is>
      </c>
      <c r="E1002" t="inlineStr">
        <is>
          <t>NORDMALING</t>
        </is>
      </c>
      <c r="F1002" t="inlineStr">
        <is>
          <t>Kommuner</t>
        </is>
      </c>
      <c r="G1002" t="n">
        <v>9.1</v>
      </c>
      <c r="H1002" t="n">
        <v>2</v>
      </c>
      <c r="I1002" t="n">
        <v>0</v>
      </c>
      <c r="J1002" t="n">
        <v>2</v>
      </c>
      <c r="K1002" t="n">
        <v>0</v>
      </c>
      <c r="L1002" t="n">
        <v>0</v>
      </c>
      <c r="M1002" t="n">
        <v>0</v>
      </c>
      <c r="N1002" t="n">
        <v>0</v>
      </c>
      <c r="O1002" t="n">
        <v>2</v>
      </c>
      <c r="P1002" t="n">
        <v>0</v>
      </c>
      <c r="Q1002" t="n">
        <v>2</v>
      </c>
      <c r="R1002" s="2" t="inlineStr">
        <is>
          <t>Grönsångare
Mindre hackspett</t>
        </is>
      </c>
      <c r="S1002">
        <f>HYPERLINK("https://klasma.github.io/Logging_2401/artfynd/A 65043-2023 artfynd.xlsx", "A 65043-2023")</f>
        <v/>
      </c>
      <c r="T1002">
        <f>HYPERLINK("https://klasma.github.io/Logging_2401/kartor/A 65043-2023 karta.png", "A 65043-2023")</f>
        <v/>
      </c>
      <c r="V1002">
        <f>HYPERLINK("https://klasma.github.io/Logging_2401/klagomål/A 65043-2023 FSC-klagomål.docx", "A 65043-2023")</f>
        <v/>
      </c>
      <c r="W1002">
        <f>HYPERLINK("https://klasma.github.io/Logging_2401/klagomålsmail/A 65043-2023 FSC-klagomål mail.docx", "A 65043-2023")</f>
        <v/>
      </c>
      <c r="X1002">
        <f>HYPERLINK("https://klasma.github.io/Logging_2401/tillsyn/A 65043-2023 tillsynsbegäran.docx", "A 65043-2023")</f>
        <v/>
      </c>
      <c r="Y1002">
        <f>HYPERLINK("https://klasma.github.io/Logging_2401/tillsynsmail/A 65043-2023 tillsynsbegäran mail.docx", "A 65043-2023")</f>
        <v/>
      </c>
      <c r="Z1002">
        <f>HYPERLINK("https://klasma.github.io/Logging_2401/fåglar/A 65043-2023 prioriterade fågelarter.docx", "A 65043-2023")</f>
        <v/>
      </c>
    </row>
    <row r="1003" ht="15" customHeight="1">
      <c r="A1003" t="inlineStr">
        <is>
          <t>A 65013-2023</t>
        </is>
      </c>
      <c r="B1003" s="1" t="n">
        <v>45287</v>
      </c>
      <c r="C1003" s="1" t="n">
        <v>45792</v>
      </c>
      <c r="D1003" t="inlineStr">
        <is>
          <t>VÄSTERBOTTENS LÄN</t>
        </is>
      </c>
      <c r="E1003" t="inlineStr">
        <is>
          <t>SKELLEFTEÅ</t>
        </is>
      </c>
      <c r="G1003" t="n">
        <v>7.7</v>
      </c>
      <c r="H1003" t="n">
        <v>0</v>
      </c>
      <c r="I1003" t="n">
        <v>0</v>
      </c>
      <c r="J1003" t="n">
        <v>1</v>
      </c>
      <c r="K1003" t="n">
        <v>1</v>
      </c>
      <c r="L1003" t="n">
        <v>0</v>
      </c>
      <c r="M1003" t="n">
        <v>0</v>
      </c>
      <c r="N1003" t="n">
        <v>0</v>
      </c>
      <c r="O1003" t="n">
        <v>2</v>
      </c>
      <c r="P1003" t="n">
        <v>1</v>
      </c>
      <c r="Q1003" t="n">
        <v>2</v>
      </c>
      <c r="R1003" s="2" t="inlineStr">
        <is>
          <t>Smalfotad taggsvamp
Svartvit taggsvamp</t>
        </is>
      </c>
      <c r="S1003">
        <f>HYPERLINK("https://klasma.github.io/Logging_2482/artfynd/A 65013-2023 artfynd.xlsx", "A 65013-2023")</f>
        <v/>
      </c>
      <c r="T1003">
        <f>HYPERLINK("https://klasma.github.io/Logging_2482/kartor/A 65013-2023 karta.png", "A 65013-2023")</f>
        <v/>
      </c>
      <c r="V1003">
        <f>HYPERLINK("https://klasma.github.io/Logging_2482/klagomål/A 65013-2023 FSC-klagomål.docx", "A 65013-2023")</f>
        <v/>
      </c>
      <c r="W1003">
        <f>HYPERLINK("https://klasma.github.io/Logging_2482/klagomålsmail/A 65013-2023 FSC-klagomål mail.docx", "A 65013-2023")</f>
        <v/>
      </c>
      <c r="X1003">
        <f>HYPERLINK("https://klasma.github.io/Logging_2482/tillsyn/A 65013-2023 tillsynsbegäran.docx", "A 65013-2023")</f>
        <v/>
      </c>
      <c r="Y1003">
        <f>HYPERLINK("https://klasma.github.io/Logging_2482/tillsynsmail/A 65013-2023 tillsynsbegäran mail.docx", "A 65013-2023")</f>
        <v/>
      </c>
    </row>
    <row r="1004" ht="15" customHeight="1">
      <c r="A1004" t="inlineStr">
        <is>
          <t>A 65100-2023</t>
        </is>
      </c>
      <c r="B1004" s="1" t="n">
        <v>45287</v>
      </c>
      <c r="C1004" s="1" t="n">
        <v>45792</v>
      </c>
      <c r="D1004" t="inlineStr">
        <is>
          <t>VÄSTERBOTTENS LÄN</t>
        </is>
      </c>
      <c r="E1004" t="inlineStr">
        <is>
          <t>NORDMALING</t>
        </is>
      </c>
      <c r="G1004" t="n">
        <v>16.5</v>
      </c>
      <c r="H1004" t="n">
        <v>0</v>
      </c>
      <c r="I1004" t="n">
        <v>1</v>
      </c>
      <c r="J1004" t="n">
        <v>1</v>
      </c>
      <c r="K1004" t="n">
        <v>0</v>
      </c>
      <c r="L1004" t="n">
        <v>0</v>
      </c>
      <c r="M1004" t="n">
        <v>0</v>
      </c>
      <c r="N1004" t="n">
        <v>0</v>
      </c>
      <c r="O1004" t="n">
        <v>1</v>
      </c>
      <c r="P1004" t="n">
        <v>0</v>
      </c>
      <c r="Q1004" t="n">
        <v>2</v>
      </c>
      <c r="R1004" s="2" t="inlineStr">
        <is>
          <t>Garnlav
Stuplav</t>
        </is>
      </c>
      <c r="S1004">
        <f>HYPERLINK("https://klasma.github.io/Logging_2401/artfynd/A 65100-2023 artfynd.xlsx", "A 65100-2023")</f>
        <v/>
      </c>
      <c r="T1004">
        <f>HYPERLINK("https://klasma.github.io/Logging_2401/kartor/A 65100-2023 karta.png", "A 65100-2023")</f>
        <v/>
      </c>
      <c r="V1004">
        <f>HYPERLINK("https://klasma.github.io/Logging_2401/klagomål/A 65100-2023 FSC-klagomål.docx", "A 65100-2023")</f>
        <v/>
      </c>
      <c r="W1004">
        <f>HYPERLINK("https://klasma.github.io/Logging_2401/klagomålsmail/A 65100-2023 FSC-klagomål mail.docx", "A 65100-2023")</f>
        <v/>
      </c>
      <c r="X1004">
        <f>HYPERLINK("https://klasma.github.io/Logging_2401/tillsyn/A 65100-2023 tillsynsbegäran.docx", "A 65100-2023")</f>
        <v/>
      </c>
      <c r="Y1004">
        <f>HYPERLINK("https://klasma.github.io/Logging_2401/tillsynsmail/A 65100-2023 tillsynsbegäran mail.docx", "A 65100-2023")</f>
        <v/>
      </c>
    </row>
    <row r="1005" ht="15" customHeight="1">
      <c r="A1005" t="inlineStr">
        <is>
          <t>A 1259-2024</t>
        </is>
      </c>
      <c r="B1005" s="1" t="n">
        <v>45302</v>
      </c>
      <c r="C1005" s="1" t="n">
        <v>45792</v>
      </c>
      <c r="D1005" t="inlineStr">
        <is>
          <t>VÄSTERBOTTENS LÄN</t>
        </is>
      </c>
      <c r="E1005" t="inlineStr">
        <is>
          <t>SKELLEFTEÅ</t>
        </is>
      </c>
      <c r="G1005" t="n">
        <v>1.6</v>
      </c>
      <c r="H1005" t="n">
        <v>0</v>
      </c>
      <c r="I1005" t="n">
        <v>0</v>
      </c>
      <c r="J1005" t="n">
        <v>2</v>
      </c>
      <c r="K1005" t="n">
        <v>0</v>
      </c>
      <c r="L1005" t="n">
        <v>0</v>
      </c>
      <c r="M1005" t="n">
        <v>0</v>
      </c>
      <c r="N1005" t="n">
        <v>0</v>
      </c>
      <c r="O1005" t="n">
        <v>2</v>
      </c>
      <c r="P1005" t="n">
        <v>0</v>
      </c>
      <c r="Q1005" t="n">
        <v>2</v>
      </c>
      <c r="R1005" s="2" t="inlineStr">
        <is>
          <t>Månlåsbräken
Nordlåsbräken</t>
        </is>
      </c>
      <c r="S1005">
        <f>HYPERLINK("https://klasma.github.io/Logging_2482/artfynd/A 1259-2024 artfynd.xlsx", "A 1259-2024")</f>
        <v/>
      </c>
      <c r="T1005">
        <f>HYPERLINK("https://klasma.github.io/Logging_2482/kartor/A 1259-2024 karta.png", "A 1259-2024")</f>
        <v/>
      </c>
      <c r="V1005">
        <f>HYPERLINK("https://klasma.github.io/Logging_2482/klagomål/A 1259-2024 FSC-klagomål.docx", "A 1259-2024")</f>
        <v/>
      </c>
      <c r="W1005">
        <f>HYPERLINK("https://klasma.github.io/Logging_2482/klagomålsmail/A 1259-2024 FSC-klagomål mail.docx", "A 1259-2024")</f>
        <v/>
      </c>
      <c r="X1005">
        <f>HYPERLINK("https://klasma.github.io/Logging_2482/tillsyn/A 1259-2024 tillsynsbegäran.docx", "A 1259-2024")</f>
        <v/>
      </c>
      <c r="Y1005">
        <f>HYPERLINK("https://klasma.github.io/Logging_2482/tillsynsmail/A 1259-2024 tillsynsbegäran mail.docx", "A 1259-2024")</f>
        <v/>
      </c>
    </row>
    <row r="1006" ht="15" customHeight="1">
      <c r="A1006" t="inlineStr">
        <is>
          <t>A 1278-2024</t>
        </is>
      </c>
      <c r="B1006" s="1" t="n">
        <v>45302</v>
      </c>
      <c r="C1006" s="1" t="n">
        <v>45792</v>
      </c>
      <c r="D1006" t="inlineStr">
        <is>
          <t>VÄSTERBOTTENS LÄN</t>
        </is>
      </c>
      <c r="E1006" t="inlineStr">
        <is>
          <t>DOROTEA</t>
        </is>
      </c>
      <c r="F1006" t="inlineStr">
        <is>
          <t>SCA</t>
        </is>
      </c>
      <c r="G1006" t="n">
        <v>1.3</v>
      </c>
      <c r="H1006" t="n">
        <v>0</v>
      </c>
      <c r="I1006" t="n">
        <v>0</v>
      </c>
      <c r="J1006" t="n">
        <v>1</v>
      </c>
      <c r="K1006" t="n">
        <v>1</v>
      </c>
      <c r="L1006" t="n">
        <v>0</v>
      </c>
      <c r="M1006" t="n">
        <v>0</v>
      </c>
      <c r="N1006" t="n">
        <v>0</v>
      </c>
      <c r="O1006" t="n">
        <v>2</v>
      </c>
      <c r="P1006" t="n">
        <v>1</v>
      </c>
      <c r="Q1006" t="n">
        <v>2</v>
      </c>
      <c r="R1006" s="2" t="inlineStr">
        <is>
          <t>Gräddticka
Granticka</t>
        </is>
      </c>
      <c r="S1006">
        <f>HYPERLINK("https://klasma.github.io/Logging_2425/artfynd/A 1278-2024 artfynd.xlsx", "A 1278-2024")</f>
        <v/>
      </c>
      <c r="T1006">
        <f>HYPERLINK("https://klasma.github.io/Logging_2425/kartor/A 1278-2024 karta.png", "A 1278-2024")</f>
        <v/>
      </c>
      <c r="V1006">
        <f>HYPERLINK("https://klasma.github.io/Logging_2425/klagomål/A 1278-2024 FSC-klagomål.docx", "A 1278-2024")</f>
        <v/>
      </c>
      <c r="W1006">
        <f>HYPERLINK("https://klasma.github.io/Logging_2425/klagomålsmail/A 1278-2024 FSC-klagomål mail.docx", "A 1278-2024")</f>
        <v/>
      </c>
      <c r="X1006">
        <f>HYPERLINK("https://klasma.github.io/Logging_2425/tillsyn/A 1278-2024 tillsynsbegäran.docx", "A 1278-2024")</f>
        <v/>
      </c>
      <c r="Y1006">
        <f>HYPERLINK("https://klasma.github.io/Logging_2425/tillsynsmail/A 1278-2024 tillsynsbegäran mail.docx", "A 1278-2024")</f>
        <v/>
      </c>
    </row>
    <row r="1007" ht="15" customHeight="1">
      <c r="A1007" t="inlineStr">
        <is>
          <t>A 2056-2024</t>
        </is>
      </c>
      <c r="B1007" s="1" t="n">
        <v>45308</v>
      </c>
      <c r="C1007" s="1" t="n">
        <v>45792</v>
      </c>
      <c r="D1007" t="inlineStr">
        <is>
          <t>VÄSTERBOTTENS LÄN</t>
        </is>
      </c>
      <c r="E1007" t="inlineStr">
        <is>
          <t>SKELLEFTEÅ</t>
        </is>
      </c>
      <c r="G1007" t="n">
        <v>1.6</v>
      </c>
      <c r="H1007" t="n">
        <v>1</v>
      </c>
      <c r="I1007" t="n">
        <v>0</v>
      </c>
      <c r="J1007" t="n">
        <v>2</v>
      </c>
      <c r="K1007" t="n">
        <v>0</v>
      </c>
      <c r="L1007" t="n">
        <v>0</v>
      </c>
      <c r="M1007" t="n">
        <v>0</v>
      </c>
      <c r="N1007" t="n">
        <v>0</v>
      </c>
      <c r="O1007" t="n">
        <v>2</v>
      </c>
      <c r="P1007" t="n">
        <v>0</v>
      </c>
      <c r="Q1007" t="n">
        <v>2</v>
      </c>
      <c r="R1007" s="2" t="inlineStr">
        <is>
          <t>Järpe
Talltaggsvamp</t>
        </is>
      </c>
      <c r="S1007">
        <f>HYPERLINK("https://klasma.github.io/Logging_2482/artfynd/A 2056-2024 artfynd.xlsx", "A 2056-2024")</f>
        <v/>
      </c>
      <c r="T1007">
        <f>HYPERLINK("https://klasma.github.io/Logging_2482/kartor/A 2056-2024 karta.png", "A 2056-2024")</f>
        <v/>
      </c>
      <c r="V1007">
        <f>HYPERLINK("https://klasma.github.io/Logging_2482/klagomål/A 2056-2024 FSC-klagomål.docx", "A 2056-2024")</f>
        <v/>
      </c>
      <c r="W1007">
        <f>HYPERLINK("https://klasma.github.io/Logging_2482/klagomålsmail/A 2056-2024 FSC-klagomål mail.docx", "A 2056-2024")</f>
        <v/>
      </c>
      <c r="X1007">
        <f>HYPERLINK("https://klasma.github.io/Logging_2482/tillsyn/A 2056-2024 tillsynsbegäran.docx", "A 2056-2024")</f>
        <v/>
      </c>
      <c r="Y1007">
        <f>HYPERLINK("https://klasma.github.io/Logging_2482/tillsynsmail/A 2056-2024 tillsynsbegäran mail.docx", "A 2056-2024")</f>
        <v/>
      </c>
      <c r="Z1007">
        <f>HYPERLINK("https://klasma.github.io/Logging_2482/fåglar/A 2056-2024 prioriterade fågelarter.docx", "A 2056-2024")</f>
        <v/>
      </c>
    </row>
    <row r="1008" ht="15" customHeight="1">
      <c r="A1008" t="inlineStr">
        <is>
          <t>A 2606-2024</t>
        </is>
      </c>
      <c r="B1008" s="1" t="n">
        <v>45313</v>
      </c>
      <c r="C1008" s="1" t="n">
        <v>45792</v>
      </c>
      <c r="D1008" t="inlineStr">
        <is>
          <t>VÄSTERBOTTENS LÄN</t>
        </is>
      </c>
      <c r="E1008" t="inlineStr">
        <is>
          <t>ÅSELE</t>
        </is>
      </c>
      <c r="F1008" t="inlineStr">
        <is>
          <t>Övriga Aktiebolag</t>
        </is>
      </c>
      <c r="G1008" t="n">
        <v>8.6</v>
      </c>
      <c r="H1008" t="n">
        <v>0</v>
      </c>
      <c r="I1008" t="n">
        <v>1</v>
      </c>
      <c r="J1008" t="n">
        <v>1</v>
      </c>
      <c r="K1008" t="n">
        <v>0</v>
      </c>
      <c r="L1008" t="n">
        <v>0</v>
      </c>
      <c r="M1008" t="n">
        <v>0</v>
      </c>
      <c r="N1008" t="n">
        <v>0</v>
      </c>
      <c r="O1008" t="n">
        <v>1</v>
      </c>
      <c r="P1008" t="n">
        <v>0</v>
      </c>
      <c r="Q1008" t="n">
        <v>2</v>
      </c>
      <c r="R1008" s="2" t="inlineStr">
        <is>
          <t>Ullticka
Dropptaggsvamp</t>
        </is>
      </c>
      <c r="S1008">
        <f>HYPERLINK("https://klasma.github.io/Logging_2463/artfynd/A 2606-2024 artfynd.xlsx", "A 2606-2024")</f>
        <v/>
      </c>
      <c r="T1008">
        <f>HYPERLINK("https://klasma.github.io/Logging_2463/kartor/A 2606-2024 karta.png", "A 2606-2024")</f>
        <v/>
      </c>
      <c r="V1008">
        <f>HYPERLINK("https://klasma.github.io/Logging_2463/klagomål/A 2606-2024 FSC-klagomål.docx", "A 2606-2024")</f>
        <v/>
      </c>
      <c r="W1008">
        <f>HYPERLINK("https://klasma.github.io/Logging_2463/klagomålsmail/A 2606-2024 FSC-klagomål mail.docx", "A 2606-2024")</f>
        <v/>
      </c>
      <c r="X1008">
        <f>HYPERLINK("https://klasma.github.io/Logging_2463/tillsyn/A 2606-2024 tillsynsbegäran.docx", "A 2606-2024")</f>
        <v/>
      </c>
      <c r="Y1008">
        <f>HYPERLINK("https://klasma.github.io/Logging_2463/tillsynsmail/A 2606-2024 tillsynsbegäran mail.docx", "A 2606-2024")</f>
        <v/>
      </c>
    </row>
    <row r="1009" ht="15" customHeight="1">
      <c r="A1009" t="inlineStr">
        <is>
          <t>A 2604-2024</t>
        </is>
      </c>
      <c r="B1009" s="1" t="n">
        <v>45313</v>
      </c>
      <c r="C1009" s="1" t="n">
        <v>45792</v>
      </c>
      <c r="D1009" t="inlineStr">
        <is>
          <t>VÄSTERBOTTENS LÄN</t>
        </is>
      </c>
      <c r="E1009" t="inlineStr">
        <is>
          <t>ÅSELE</t>
        </is>
      </c>
      <c r="G1009" t="n">
        <v>12.1</v>
      </c>
      <c r="H1009" t="n">
        <v>0</v>
      </c>
      <c r="I1009" t="n">
        <v>0</v>
      </c>
      <c r="J1009" t="n">
        <v>2</v>
      </c>
      <c r="K1009" t="n">
        <v>0</v>
      </c>
      <c r="L1009" t="n">
        <v>0</v>
      </c>
      <c r="M1009" t="n">
        <v>0</v>
      </c>
      <c r="N1009" t="n">
        <v>0</v>
      </c>
      <c r="O1009" t="n">
        <v>2</v>
      </c>
      <c r="P1009" t="n">
        <v>0</v>
      </c>
      <c r="Q1009" t="n">
        <v>2</v>
      </c>
      <c r="R1009" s="2" t="inlineStr">
        <is>
          <t>Gammelgransskål
Ullticka</t>
        </is>
      </c>
      <c r="S1009">
        <f>HYPERLINK("https://klasma.github.io/Logging_2463/artfynd/A 2604-2024 artfynd.xlsx", "A 2604-2024")</f>
        <v/>
      </c>
      <c r="T1009">
        <f>HYPERLINK("https://klasma.github.io/Logging_2463/kartor/A 2604-2024 karta.png", "A 2604-2024")</f>
        <v/>
      </c>
      <c r="V1009">
        <f>HYPERLINK("https://klasma.github.io/Logging_2463/klagomål/A 2604-2024 FSC-klagomål.docx", "A 2604-2024")</f>
        <v/>
      </c>
      <c r="W1009">
        <f>HYPERLINK("https://klasma.github.io/Logging_2463/klagomålsmail/A 2604-2024 FSC-klagomål mail.docx", "A 2604-2024")</f>
        <v/>
      </c>
      <c r="X1009">
        <f>HYPERLINK("https://klasma.github.io/Logging_2463/tillsyn/A 2604-2024 tillsynsbegäran.docx", "A 2604-2024")</f>
        <v/>
      </c>
      <c r="Y1009">
        <f>HYPERLINK("https://klasma.github.io/Logging_2463/tillsynsmail/A 2604-2024 tillsynsbegäran mail.docx", "A 2604-2024")</f>
        <v/>
      </c>
    </row>
    <row r="1010" ht="15" customHeight="1">
      <c r="A1010" t="inlineStr">
        <is>
          <t>A 3717-2024</t>
        </is>
      </c>
      <c r="B1010" s="1" t="n">
        <v>45321</v>
      </c>
      <c r="C1010" s="1" t="n">
        <v>45792</v>
      </c>
      <c r="D1010" t="inlineStr">
        <is>
          <t>VÄSTERBOTTENS LÄN</t>
        </is>
      </c>
      <c r="E1010" t="inlineStr">
        <is>
          <t>NORDMALING</t>
        </is>
      </c>
      <c r="G1010" t="n">
        <v>12.4</v>
      </c>
      <c r="H1010" t="n">
        <v>0</v>
      </c>
      <c r="I1010" t="n">
        <v>1</v>
      </c>
      <c r="J1010" t="n">
        <v>1</v>
      </c>
      <c r="K1010" t="n">
        <v>0</v>
      </c>
      <c r="L1010" t="n">
        <v>0</v>
      </c>
      <c r="M1010" t="n">
        <v>0</v>
      </c>
      <c r="N1010" t="n">
        <v>0</v>
      </c>
      <c r="O1010" t="n">
        <v>1</v>
      </c>
      <c r="P1010" t="n">
        <v>0</v>
      </c>
      <c r="Q1010" t="n">
        <v>2</v>
      </c>
      <c r="R1010" s="2" t="inlineStr">
        <is>
          <t>Småflikig brosklav
Stor aspticka</t>
        </is>
      </c>
      <c r="S1010">
        <f>HYPERLINK("https://klasma.github.io/Logging_2401/artfynd/A 3717-2024 artfynd.xlsx", "A 3717-2024")</f>
        <v/>
      </c>
      <c r="T1010">
        <f>HYPERLINK("https://klasma.github.io/Logging_2401/kartor/A 3717-2024 karta.png", "A 3717-2024")</f>
        <v/>
      </c>
      <c r="V1010">
        <f>HYPERLINK("https://klasma.github.io/Logging_2401/klagomål/A 3717-2024 FSC-klagomål.docx", "A 3717-2024")</f>
        <v/>
      </c>
      <c r="W1010">
        <f>HYPERLINK("https://klasma.github.io/Logging_2401/klagomålsmail/A 3717-2024 FSC-klagomål mail.docx", "A 3717-2024")</f>
        <v/>
      </c>
      <c r="X1010">
        <f>HYPERLINK("https://klasma.github.io/Logging_2401/tillsyn/A 3717-2024 tillsynsbegäran.docx", "A 3717-2024")</f>
        <v/>
      </c>
      <c r="Y1010">
        <f>HYPERLINK("https://klasma.github.io/Logging_2401/tillsynsmail/A 3717-2024 tillsynsbegäran mail.docx", "A 3717-2024")</f>
        <v/>
      </c>
    </row>
    <row r="1011" ht="15" customHeight="1">
      <c r="A1011" t="inlineStr">
        <is>
          <t>A 4723-2024</t>
        </is>
      </c>
      <c r="B1011" s="1" t="n">
        <v>45328</v>
      </c>
      <c r="C1011" s="1" t="n">
        <v>45792</v>
      </c>
      <c r="D1011" t="inlineStr">
        <is>
          <t>VÄSTERBOTTENS LÄN</t>
        </is>
      </c>
      <c r="E1011" t="inlineStr">
        <is>
          <t>SORSELE</t>
        </is>
      </c>
      <c r="G1011" t="n">
        <v>28.1</v>
      </c>
      <c r="H1011" t="n">
        <v>0</v>
      </c>
      <c r="I1011" t="n">
        <v>0</v>
      </c>
      <c r="J1011" t="n">
        <v>2</v>
      </c>
      <c r="K1011" t="n">
        <v>0</v>
      </c>
      <c r="L1011" t="n">
        <v>0</v>
      </c>
      <c r="M1011" t="n">
        <v>0</v>
      </c>
      <c r="N1011" t="n">
        <v>0</v>
      </c>
      <c r="O1011" t="n">
        <v>2</v>
      </c>
      <c r="P1011" t="n">
        <v>0</v>
      </c>
      <c r="Q1011" t="n">
        <v>2</v>
      </c>
      <c r="R1011" s="2" t="inlineStr">
        <is>
          <t>Granticka
Harticka</t>
        </is>
      </c>
      <c r="S1011">
        <f>HYPERLINK("https://klasma.github.io/Logging_2422/artfynd/A 4723-2024 artfynd.xlsx", "A 4723-2024")</f>
        <v/>
      </c>
      <c r="T1011">
        <f>HYPERLINK("https://klasma.github.io/Logging_2422/kartor/A 4723-2024 karta.png", "A 4723-2024")</f>
        <v/>
      </c>
      <c r="V1011">
        <f>HYPERLINK("https://klasma.github.io/Logging_2422/klagomål/A 4723-2024 FSC-klagomål.docx", "A 4723-2024")</f>
        <v/>
      </c>
      <c r="W1011">
        <f>HYPERLINK("https://klasma.github.io/Logging_2422/klagomålsmail/A 4723-2024 FSC-klagomål mail.docx", "A 4723-2024")</f>
        <v/>
      </c>
      <c r="X1011">
        <f>HYPERLINK("https://klasma.github.io/Logging_2422/tillsyn/A 4723-2024 tillsynsbegäran.docx", "A 4723-2024")</f>
        <v/>
      </c>
      <c r="Y1011">
        <f>HYPERLINK("https://klasma.github.io/Logging_2422/tillsynsmail/A 4723-2024 tillsynsbegäran mail.docx", "A 4723-2024")</f>
        <v/>
      </c>
    </row>
    <row r="1012" ht="15" customHeight="1">
      <c r="A1012" t="inlineStr">
        <is>
          <t>A 6839-2024</t>
        </is>
      </c>
      <c r="B1012" s="1" t="n">
        <v>45342</v>
      </c>
      <c r="C1012" s="1" t="n">
        <v>45792</v>
      </c>
      <c r="D1012" t="inlineStr">
        <is>
          <t>VÄSTERBOTTENS LÄN</t>
        </is>
      </c>
      <c r="E1012" t="inlineStr">
        <is>
          <t>ROBERTSFORS</t>
        </is>
      </c>
      <c r="F1012" t="inlineStr">
        <is>
          <t>Sveaskog</t>
        </is>
      </c>
      <c r="G1012" t="n">
        <v>6.6</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6839-2024 artfynd.xlsx", "A 6839-2024")</f>
        <v/>
      </c>
      <c r="T1012">
        <f>HYPERLINK("https://klasma.github.io/Logging_2409/kartor/A 6839-2024 karta.png", "A 6839-2024")</f>
        <v/>
      </c>
      <c r="V1012">
        <f>HYPERLINK("https://klasma.github.io/Logging_2409/klagomål/A 6839-2024 FSC-klagomål.docx", "A 6839-2024")</f>
        <v/>
      </c>
      <c r="W1012">
        <f>HYPERLINK("https://klasma.github.io/Logging_2409/klagomålsmail/A 6839-2024 FSC-klagomål mail.docx", "A 6839-2024")</f>
        <v/>
      </c>
      <c r="X1012">
        <f>HYPERLINK("https://klasma.github.io/Logging_2409/tillsyn/A 6839-2024 tillsynsbegäran.docx", "A 6839-2024")</f>
        <v/>
      </c>
      <c r="Y1012">
        <f>HYPERLINK("https://klasma.github.io/Logging_2409/tillsynsmail/A 6839-2024 tillsynsbegäran mail.docx", "A 6839-2024")</f>
        <v/>
      </c>
    </row>
    <row r="1013" ht="15" customHeight="1">
      <c r="A1013" t="inlineStr">
        <is>
          <t>A 7050-2024</t>
        </is>
      </c>
      <c r="B1013" s="1" t="n">
        <v>45343</v>
      </c>
      <c r="C1013" s="1" t="n">
        <v>45792</v>
      </c>
      <c r="D1013" t="inlineStr">
        <is>
          <t>VÄSTERBOTTENS LÄN</t>
        </is>
      </c>
      <c r="E1013" t="inlineStr">
        <is>
          <t>UMEÅ</t>
        </is>
      </c>
      <c r="G1013" t="n">
        <v>6.5</v>
      </c>
      <c r="H1013" t="n">
        <v>1</v>
      </c>
      <c r="I1013" t="n">
        <v>0</v>
      </c>
      <c r="J1013" t="n">
        <v>2</v>
      </c>
      <c r="K1013" t="n">
        <v>0</v>
      </c>
      <c r="L1013" t="n">
        <v>0</v>
      </c>
      <c r="M1013" t="n">
        <v>0</v>
      </c>
      <c r="N1013" t="n">
        <v>0</v>
      </c>
      <c r="O1013" t="n">
        <v>2</v>
      </c>
      <c r="P1013" t="n">
        <v>0</v>
      </c>
      <c r="Q1013" t="n">
        <v>2</v>
      </c>
      <c r="R1013" s="2" t="inlineStr">
        <is>
          <t>Granticka
Talltita</t>
        </is>
      </c>
      <c r="S1013">
        <f>HYPERLINK("https://klasma.github.io/Logging_2480/artfynd/A 7050-2024 artfynd.xlsx", "A 7050-2024")</f>
        <v/>
      </c>
      <c r="T1013">
        <f>HYPERLINK("https://klasma.github.io/Logging_2480/kartor/A 7050-2024 karta.png", "A 7050-2024")</f>
        <v/>
      </c>
      <c r="V1013">
        <f>HYPERLINK("https://klasma.github.io/Logging_2480/klagomål/A 7050-2024 FSC-klagomål.docx", "A 7050-2024")</f>
        <v/>
      </c>
      <c r="W1013">
        <f>HYPERLINK("https://klasma.github.io/Logging_2480/klagomålsmail/A 7050-2024 FSC-klagomål mail.docx", "A 7050-2024")</f>
        <v/>
      </c>
      <c r="X1013">
        <f>HYPERLINK("https://klasma.github.io/Logging_2480/tillsyn/A 7050-2024 tillsynsbegäran.docx", "A 7050-2024")</f>
        <v/>
      </c>
      <c r="Y1013">
        <f>HYPERLINK("https://klasma.github.io/Logging_2480/tillsynsmail/A 7050-2024 tillsynsbegäran mail.docx", "A 7050-2024")</f>
        <v/>
      </c>
      <c r="Z1013">
        <f>HYPERLINK("https://klasma.github.io/Logging_2480/fåglar/A 7050-2024 prioriterade fågelarter.docx", "A 7050-2024")</f>
        <v/>
      </c>
    </row>
    <row r="1014" ht="15" customHeight="1">
      <c r="A1014" t="inlineStr">
        <is>
          <t>A 7215-2024</t>
        </is>
      </c>
      <c r="B1014" s="1" t="n">
        <v>45344</v>
      </c>
      <c r="C1014" s="1" t="n">
        <v>45792</v>
      </c>
      <c r="D1014" t="inlineStr">
        <is>
          <t>VÄSTERBOTTENS LÄN</t>
        </is>
      </c>
      <c r="E1014" t="inlineStr">
        <is>
          <t>LYCKSELE</t>
        </is>
      </c>
      <c r="F1014" t="inlineStr">
        <is>
          <t>Sveaskog</t>
        </is>
      </c>
      <c r="G1014" t="n">
        <v>4.3</v>
      </c>
      <c r="H1014" t="n">
        <v>0</v>
      </c>
      <c r="I1014" t="n">
        <v>1</v>
      </c>
      <c r="J1014" t="n">
        <v>1</v>
      </c>
      <c r="K1014" t="n">
        <v>0</v>
      </c>
      <c r="L1014" t="n">
        <v>0</v>
      </c>
      <c r="M1014" t="n">
        <v>0</v>
      </c>
      <c r="N1014" t="n">
        <v>0</v>
      </c>
      <c r="O1014" t="n">
        <v>1</v>
      </c>
      <c r="P1014" t="n">
        <v>0</v>
      </c>
      <c r="Q1014" t="n">
        <v>2</v>
      </c>
      <c r="R1014" s="2" t="inlineStr">
        <is>
          <t>Gammelgransskål
Bronshjon</t>
        </is>
      </c>
      <c r="S1014">
        <f>HYPERLINK("https://klasma.github.io/Logging_2481/artfynd/A 7215-2024 artfynd.xlsx", "A 7215-2024")</f>
        <v/>
      </c>
      <c r="T1014">
        <f>HYPERLINK("https://klasma.github.io/Logging_2481/kartor/A 7215-2024 karta.png", "A 7215-2024")</f>
        <v/>
      </c>
      <c r="V1014">
        <f>HYPERLINK("https://klasma.github.io/Logging_2481/klagomål/A 7215-2024 FSC-klagomål.docx", "A 7215-2024")</f>
        <v/>
      </c>
      <c r="W1014">
        <f>HYPERLINK("https://klasma.github.io/Logging_2481/klagomålsmail/A 7215-2024 FSC-klagomål mail.docx", "A 7215-2024")</f>
        <v/>
      </c>
      <c r="X1014">
        <f>HYPERLINK("https://klasma.github.io/Logging_2481/tillsyn/A 7215-2024 tillsynsbegäran.docx", "A 7215-2024")</f>
        <v/>
      </c>
      <c r="Y1014">
        <f>HYPERLINK("https://klasma.github.io/Logging_2481/tillsynsmail/A 7215-2024 tillsynsbegäran mail.docx", "A 7215-2024")</f>
        <v/>
      </c>
    </row>
    <row r="1015" ht="15" customHeight="1">
      <c r="A1015" t="inlineStr">
        <is>
          <t>A 8715-2024</t>
        </is>
      </c>
      <c r="B1015" s="1" t="n">
        <v>45356</v>
      </c>
      <c r="C1015" s="1" t="n">
        <v>45792</v>
      </c>
      <c r="D1015" t="inlineStr">
        <is>
          <t>VÄSTERBOTTENS LÄN</t>
        </is>
      </c>
      <c r="E1015" t="inlineStr">
        <is>
          <t>UMEÅ</t>
        </is>
      </c>
      <c r="G1015" t="n">
        <v>6.1</v>
      </c>
      <c r="H1015" t="n">
        <v>0</v>
      </c>
      <c r="I1015" t="n">
        <v>0</v>
      </c>
      <c r="J1015" t="n">
        <v>1</v>
      </c>
      <c r="K1015" t="n">
        <v>1</v>
      </c>
      <c r="L1015" t="n">
        <v>0</v>
      </c>
      <c r="M1015" t="n">
        <v>0</v>
      </c>
      <c r="N1015" t="n">
        <v>0</v>
      </c>
      <c r="O1015" t="n">
        <v>2</v>
      </c>
      <c r="P1015" t="n">
        <v>1</v>
      </c>
      <c r="Q1015" t="n">
        <v>2</v>
      </c>
      <c r="R1015" s="2" t="inlineStr">
        <is>
          <t>Turkos blåvinge
Garnlav</t>
        </is>
      </c>
      <c r="S1015">
        <f>HYPERLINK("https://klasma.github.io/Logging_2480/artfynd/A 8715-2024 artfynd.xlsx", "A 8715-2024")</f>
        <v/>
      </c>
      <c r="T1015">
        <f>HYPERLINK("https://klasma.github.io/Logging_2480/kartor/A 8715-2024 karta.png", "A 8715-2024")</f>
        <v/>
      </c>
      <c r="V1015">
        <f>HYPERLINK("https://klasma.github.io/Logging_2480/klagomål/A 8715-2024 FSC-klagomål.docx", "A 8715-2024")</f>
        <v/>
      </c>
      <c r="W1015">
        <f>HYPERLINK("https://klasma.github.io/Logging_2480/klagomålsmail/A 8715-2024 FSC-klagomål mail.docx", "A 8715-2024")</f>
        <v/>
      </c>
      <c r="X1015">
        <f>HYPERLINK("https://klasma.github.io/Logging_2480/tillsyn/A 8715-2024 tillsynsbegäran.docx", "A 8715-2024")</f>
        <v/>
      </c>
      <c r="Y1015">
        <f>HYPERLINK("https://klasma.github.io/Logging_2480/tillsynsmail/A 8715-2024 tillsynsbegäran mail.docx", "A 8715-2024")</f>
        <v/>
      </c>
    </row>
    <row r="1016" ht="15" customHeight="1">
      <c r="A1016" t="inlineStr">
        <is>
          <t>A 9924-2024</t>
        </is>
      </c>
      <c r="B1016" s="1" t="n">
        <v>45363</v>
      </c>
      <c r="C1016" s="1" t="n">
        <v>45792</v>
      </c>
      <c r="D1016" t="inlineStr">
        <is>
          <t>VÄSTERBOTTENS LÄN</t>
        </is>
      </c>
      <c r="E1016" t="inlineStr">
        <is>
          <t>LYCKSELE</t>
        </is>
      </c>
      <c r="F1016" t="inlineStr">
        <is>
          <t>Sveaskog</t>
        </is>
      </c>
      <c r="G1016" t="n">
        <v>5.3</v>
      </c>
      <c r="H1016" t="n">
        <v>0</v>
      </c>
      <c r="I1016" t="n">
        <v>0</v>
      </c>
      <c r="J1016" t="n">
        <v>2</v>
      </c>
      <c r="K1016" t="n">
        <v>0</v>
      </c>
      <c r="L1016" t="n">
        <v>0</v>
      </c>
      <c r="M1016" t="n">
        <v>0</v>
      </c>
      <c r="N1016" t="n">
        <v>0</v>
      </c>
      <c r="O1016" t="n">
        <v>2</v>
      </c>
      <c r="P1016" t="n">
        <v>0</v>
      </c>
      <c r="Q1016" t="n">
        <v>2</v>
      </c>
      <c r="R1016" s="2" t="inlineStr">
        <is>
          <t>Granticka
Kolflarnlav</t>
        </is>
      </c>
      <c r="S1016">
        <f>HYPERLINK("https://klasma.github.io/Logging_2481/artfynd/A 9924-2024 artfynd.xlsx", "A 9924-2024")</f>
        <v/>
      </c>
      <c r="T1016">
        <f>HYPERLINK("https://klasma.github.io/Logging_2481/kartor/A 9924-2024 karta.png", "A 9924-2024")</f>
        <v/>
      </c>
      <c r="V1016">
        <f>HYPERLINK("https://klasma.github.io/Logging_2481/klagomål/A 9924-2024 FSC-klagomål.docx", "A 9924-2024")</f>
        <v/>
      </c>
      <c r="W1016">
        <f>HYPERLINK("https://klasma.github.io/Logging_2481/klagomålsmail/A 9924-2024 FSC-klagomål mail.docx", "A 9924-2024")</f>
        <v/>
      </c>
      <c r="X1016">
        <f>HYPERLINK("https://klasma.github.io/Logging_2481/tillsyn/A 9924-2024 tillsynsbegäran.docx", "A 9924-2024")</f>
        <v/>
      </c>
      <c r="Y1016">
        <f>HYPERLINK("https://klasma.github.io/Logging_2481/tillsynsmail/A 9924-2024 tillsynsbegäran mail.docx", "A 9924-2024")</f>
        <v/>
      </c>
    </row>
    <row r="1017" ht="15" customHeight="1">
      <c r="A1017" t="inlineStr">
        <is>
          <t>A 11443-2024</t>
        </is>
      </c>
      <c r="B1017" s="1" t="n">
        <v>45372</v>
      </c>
      <c r="C1017" s="1" t="n">
        <v>45792</v>
      </c>
      <c r="D1017" t="inlineStr">
        <is>
          <t>VÄSTERBOTTENS LÄN</t>
        </is>
      </c>
      <c r="E1017" t="inlineStr">
        <is>
          <t>LYCKSELE</t>
        </is>
      </c>
      <c r="G1017" t="n">
        <v>2.2</v>
      </c>
      <c r="H1017" t="n">
        <v>1</v>
      </c>
      <c r="I1017" t="n">
        <v>2</v>
      </c>
      <c r="J1017" t="n">
        <v>0</v>
      </c>
      <c r="K1017" t="n">
        <v>0</v>
      </c>
      <c r="L1017" t="n">
        <v>0</v>
      </c>
      <c r="M1017" t="n">
        <v>0</v>
      </c>
      <c r="N1017" t="n">
        <v>0</v>
      </c>
      <c r="O1017" t="n">
        <v>0</v>
      </c>
      <c r="P1017" t="n">
        <v>0</v>
      </c>
      <c r="Q1017" t="n">
        <v>2</v>
      </c>
      <c r="R1017" s="2" t="inlineStr">
        <is>
          <t>Dropptaggsvamp
Plattlummer</t>
        </is>
      </c>
      <c r="S1017">
        <f>HYPERLINK("https://klasma.github.io/Logging_2481/artfynd/A 11443-2024 artfynd.xlsx", "A 11443-2024")</f>
        <v/>
      </c>
      <c r="T1017">
        <f>HYPERLINK("https://klasma.github.io/Logging_2481/kartor/A 11443-2024 karta.png", "A 11443-2024")</f>
        <v/>
      </c>
      <c r="V1017">
        <f>HYPERLINK("https://klasma.github.io/Logging_2481/klagomål/A 11443-2024 FSC-klagomål.docx", "A 11443-2024")</f>
        <v/>
      </c>
      <c r="W1017">
        <f>HYPERLINK("https://klasma.github.io/Logging_2481/klagomålsmail/A 11443-2024 FSC-klagomål mail.docx", "A 11443-2024")</f>
        <v/>
      </c>
      <c r="X1017">
        <f>HYPERLINK("https://klasma.github.io/Logging_2481/tillsyn/A 11443-2024 tillsynsbegäran.docx", "A 11443-2024")</f>
        <v/>
      </c>
      <c r="Y1017">
        <f>HYPERLINK("https://klasma.github.io/Logging_2481/tillsynsmail/A 11443-2024 tillsynsbegäran mail.docx", "A 11443-2024")</f>
        <v/>
      </c>
    </row>
    <row r="1018" ht="15" customHeight="1">
      <c r="A1018" t="inlineStr">
        <is>
          <t>A 14020-2024</t>
        </is>
      </c>
      <c r="B1018" s="1" t="n">
        <v>45392</v>
      </c>
      <c r="C1018" s="1" t="n">
        <v>45792</v>
      </c>
      <c r="D1018" t="inlineStr">
        <is>
          <t>VÄSTERBOTTENS LÄN</t>
        </is>
      </c>
      <c r="E1018" t="inlineStr">
        <is>
          <t>VILHELMINA</t>
        </is>
      </c>
      <c r="G1018" t="n">
        <v>7.3</v>
      </c>
      <c r="H1018" t="n">
        <v>0</v>
      </c>
      <c r="I1018" t="n">
        <v>0</v>
      </c>
      <c r="J1018" t="n">
        <v>2</v>
      </c>
      <c r="K1018" t="n">
        <v>0</v>
      </c>
      <c r="L1018" t="n">
        <v>0</v>
      </c>
      <c r="M1018" t="n">
        <v>0</v>
      </c>
      <c r="N1018" t="n">
        <v>0</v>
      </c>
      <c r="O1018" t="n">
        <v>2</v>
      </c>
      <c r="P1018" t="n">
        <v>0</v>
      </c>
      <c r="Q1018" t="n">
        <v>2</v>
      </c>
      <c r="R1018" s="2" t="inlineStr">
        <is>
          <t>Doftskinn
Garnlav</t>
        </is>
      </c>
      <c r="S1018">
        <f>HYPERLINK("https://klasma.github.io/Logging_2462/artfynd/A 14020-2024 artfynd.xlsx", "A 14020-2024")</f>
        <v/>
      </c>
      <c r="T1018">
        <f>HYPERLINK("https://klasma.github.io/Logging_2462/kartor/A 14020-2024 karta.png", "A 14020-2024")</f>
        <v/>
      </c>
      <c r="V1018">
        <f>HYPERLINK("https://klasma.github.io/Logging_2462/klagomål/A 14020-2024 FSC-klagomål.docx", "A 14020-2024")</f>
        <v/>
      </c>
      <c r="W1018">
        <f>HYPERLINK("https://klasma.github.io/Logging_2462/klagomålsmail/A 14020-2024 FSC-klagomål mail.docx", "A 14020-2024")</f>
        <v/>
      </c>
      <c r="X1018">
        <f>HYPERLINK("https://klasma.github.io/Logging_2462/tillsyn/A 14020-2024 tillsynsbegäran.docx", "A 14020-2024")</f>
        <v/>
      </c>
      <c r="Y1018">
        <f>HYPERLINK("https://klasma.github.io/Logging_2462/tillsynsmail/A 14020-2024 tillsynsbegäran mail.docx", "A 14020-2024")</f>
        <v/>
      </c>
    </row>
    <row r="1019" ht="15" customHeight="1">
      <c r="A1019" t="inlineStr">
        <is>
          <t>A 16914-2024</t>
        </is>
      </c>
      <c r="B1019" s="1" t="n">
        <v>45411</v>
      </c>
      <c r="C1019" s="1" t="n">
        <v>45792</v>
      </c>
      <c r="D1019" t="inlineStr">
        <is>
          <t>VÄSTERBOTTENS LÄN</t>
        </is>
      </c>
      <c r="E1019" t="inlineStr">
        <is>
          <t>LYCKSELE</t>
        </is>
      </c>
      <c r="G1019" t="n">
        <v>24.6</v>
      </c>
      <c r="H1019" t="n">
        <v>2</v>
      </c>
      <c r="I1019" t="n">
        <v>0</v>
      </c>
      <c r="J1019" t="n">
        <v>1</v>
      </c>
      <c r="K1019" t="n">
        <v>0</v>
      </c>
      <c r="L1019" t="n">
        <v>0</v>
      </c>
      <c r="M1019" t="n">
        <v>0</v>
      </c>
      <c r="N1019" t="n">
        <v>0</v>
      </c>
      <c r="O1019" t="n">
        <v>1</v>
      </c>
      <c r="P1019" t="n">
        <v>0</v>
      </c>
      <c r="Q1019" t="n">
        <v>2</v>
      </c>
      <c r="R1019" s="2" t="inlineStr">
        <is>
          <t>Tretåig hackspett
Lavskrika</t>
        </is>
      </c>
      <c r="S1019">
        <f>HYPERLINK("https://klasma.github.io/Logging_2481/artfynd/A 16914-2024 artfynd.xlsx", "A 16914-2024")</f>
        <v/>
      </c>
      <c r="T1019">
        <f>HYPERLINK("https://klasma.github.io/Logging_2481/kartor/A 16914-2024 karta.png", "A 16914-2024")</f>
        <v/>
      </c>
      <c r="V1019">
        <f>HYPERLINK("https://klasma.github.io/Logging_2481/klagomål/A 16914-2024 FSC-klagomål.docx", "A 16914-2024")</f>
        <v/>
      </c>
      <c r="W1019">
        <f>HYPERLINK("https://klasma.github.io/Logging_2481/klagomålsmail/A 16914-2024 FSC-klagomål mail.docx", "A 16914-2024")</f>
        <v/>
      </c>
      <c r="X1019">
        <f>HYPERLINK("https://klasma.github.io/Logging_2481/tillsyn/A 16914-2024 tillsynsbegäran.docx", "A 16914-2024")</f>
        <v/>
      </c>
      <c r="Y1019">
        <f>HYPERLINK("https://klasma.github.io/Logging_2481/tillsynsmail/A 16914-2024 tillsynsbegäran mail.docx", "A 16914-2024")</f>
        <v/>
      </c>
      <c r="Z1019">
        <f>HYPERLINK("https://klasma.github.io/Logging_2481/fåglar/A 16914-2024 prioriterade fågelarter.docx", "A 16914-2024")</f>
        <v/>
      </c>
    </row>
    <row r="1020" ht="15" customHeight="1">
      <c r="A1020" t="inlineStr">
        <is>
          <t>A 18555-2024</t>
        </is>
      </c>
      <c r="B1020" s="1" t="n">
        <v>45425</v>
      </c>
      <c r="C1020" s="1" t="n">
        <v>45792</v>
      </c>
      <c r="D1020" t="inlineStr">
        <is>
          <t>VÄSTERBOTTENS LÄN</t>
        </is>
      </c>
      <c r="E1020" t="inlineStr">
        <is>
          <t>NORSJÖ</t>
        </is>
      </c>
      <c r="F1020" t="inlineStr">
        <is>
          <t>Holmen skog AB</t>
        </is>
      </c>
      <c r="G1020" t="n">
        <v>2.3</v>
      </c>
      <c r="H1020" t="n">
        <v>1</v>
      </c>
      <c r="I1020" t="n">
        <v>0</v>
      </c>
      <c r="J1020" t="n">
        <v>1</v>
      </c>
      <c r="K1020" t="n">
        <v>0</v>
      </c>
      <c r="L1020" t="n">
        <v>0</v>
      </c>
      <c r="M1020" t="n">
        <v>0</v>
      </c>
      <c r="N1020" t="n">
        <v>0</v>
      </c>
      <c r="O1020" t="n">
        <v>1</v>
      </c>
      <c r="P1020" t="n">
        <v>0</v>
      </c>
      <c r="Q1020" t="n">
        <v>2</v>
      </c>
      <c r="R1020" s="2" t="inlineStr">
        <is>
          <t>Granticka
Revlummer</t>
        </is>
      </c>
      <c r="S1020">
        <f>HYPERLINK("https://klasma.github.io/Logging_2417/artfynd/A 18555-2024 artfynd.xlsx", "A 18555-2024")</f>
        <v/>
      </c>
      <c r="T1020">
        <f>HYPERLINK("https://klasma.github.io/Logging_2417/kartor/A 18555-2024 karta.png", "A 18555-2024")</f>
        <v/>
      </c>
      <c r="V1020">
        <f>HYPERLINK("https://klasma.github.io/Logging_2417/klagomål/A 18555-2024 FSC-klagomål.docx", "A 18555-2024")</f>
        <v/>
      </c>
      <c r="W1020">
        <f>HYPERLINK("https://klasma.github.io/Logging_2417/klagomålsmail/A 18555-2024 FSC-klagomål mail.docx", "A 18555-2024")</f>
        <v/>
      </c>
      <c r="X1020">
        <f>HYPERLINK("https://klasma.github.io/Logging_2417/tillsyn/A 18555-2024 tillsynsbegäran.docx", "A 18555-2024")</f>
        <v/>
      </c>
      <c r="Y1020">
        <f>HYPERLINK("https://klasma.github.io/Logging_2417/tillsynsmail/A 18555-2024 tillsynsbegäran mail.docx", "A 18555-2024")</f>
        <v/>
      </c>
    </row>
    <row r="1021" ht="15" customHeight="1">
      <c r="A1021" t="inlineStr">
        <is>
          <t>A 21599-2024</t>
        </is>
      </c>
      <c r="B1021" s="1" t="n">
        <v>45442</v>
      </c>
      <c r="C1021" s="1" t="n">
        <v>45792</v>
      </c>
      <c r="D1021" t="inlineStr">
        <is>
          <t>VÄSTERBOTTENS LÄN</t>
        </is>
      </c>
      <c r="E1021" t="inlineStr">
        <is>
          <t>NORSJÖ</t>
        </is>
      </c>
      <c r="G1021" t="n">
        <v>5.9</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HYPERLINK("https://klasma.github.io/Logging_2417/artfynd/A 21599-2024 artfynd.xlsx", "A 21599-2024")</f>
        <v/>
      </c>
      <c r="T1021">
        <f>HYPERLINK("https://klasma.github.io/Logging_2417/kartor/A 21599-2024 karta.png", "A 21599-2024")</f>
        <v/>
      </c>
      <c r="V1021">
        <f>HYPERLINK("https://klasma.github.io/Logging_2417/klagomål/A 21599-2024 FSC-klagomål.docx", "A 21599-2024")</f>
        <v/>
      </c>
      <c r="W1021">
        <f>HYPERLINK("https://klasma.github.io/Logging_2417/klagomålsmail/A 21599-2024 FSC-klagomål mail.docx", "A 21599-2024")</f>
        <v/>
      </c>
      <c r="X1021">
        <f>HYPERLINK("https://klasma.github.io/Logging_2417/tillsyn/A 21599-2024 tillsynsbegäran.docx", "A 21599-2024")</f>
        <v/>
      </c>
      <c r="Y1021">
        <f>HYPERLINK("https://klasma.github.io/Logging_2417/tillsynsmail/A 21599-2024 tillsynsbegäran mail.docx", "A 21599-2024")</f>
        <v/>
      </c>
    </row>
    <row r="1022" ht="15" customHeight="1">
      <c r="A1022" t="inlineStr">
        <is>
          <t>A 22110-2024</t>
        </is>
      </c>
      <c r="B1022" s="1" t="n">
        <v>45443</v>
      </c>
      <c r="C1022" s="1" t="n">
        <v>45792</v>
      </c>
      <c r="D1022" t="inlineStr">
        <is>
          <t>VÄSTERBOTTENS LÄN</t>
        </is>
      </c>
      <c r="E1022" t="inlineStr">
        <is>
          <t>ÅSELE</t>
        </is>
      </c>
      <c r="F1022" t="inlineStr">
        <is>
          <t>SCA</t>
        </is>
      </c>
      <c r="G1022" t="n">
        <v>11.6</v>
      </c>
      <c r="H1022" t="n">
        <v>0</v>
      </c>
      <c r="I1022" t="n">
        <v>0</v>
      </c>
      <c r="J1022" t="n">
        <v>2</v>
      </c>
      <c r="K1022" t="n">
        <v>0</v>
      </c>
      <c r="L1022" t="n">
        <v>0</v>
      </c>
      <c r="M1022" t="n">
        <v>0</v>
      </c>
      <c r="N1022" t="n">
        <v>0</v>
      </c>
      <c r="O1022" t="n">
        <v>2</v>
      </c>
      <c r="P1022" t="n">
        <v>0</v>
      </c>
      <c r="Q1022" t="n">
        <v>2</v>
      </c>
      <c r="R1022" s="2" t="inlineStr">
        <is>
          <t>Gammelgransskål
Lunglav</t>
        </is>
      </c>
      <c r="S1022">
        <f>HYPERLINK("https://klasma.github.io/Logging_2463/artfynd/A 22110-2024 artfynd.xlsx", "A 22110-2024")</f>
        <v/>
      </c>
      <c r="T1022">
        <f>HYPERLINK("https://klasma.github.io/Logging_2463/kartor/A 22110-2024 karta.png", "A 22110-2024")</f>
        <v/>
      </c>
      <c r="V1022">
        <f>HYPERLINK("https://klasma.github.io/Logging_2463/klagomål/A 22110-2024 FSC-klagomål.docx", "A 22110-2024")</f>
        <v/>
      </c>
      <c r="W1022">
        <f>HYPERLINK("https://klasma.github.io/Logging_2463/klagomålsmail/A 22110-2024 FSC-klagomål mail.docx", "A 22110-2024")</f>
        <v/>
      </c>
      <c r="X1022">
        <f>HYPERLINK("https://klasma.github.io/Logging_2463/tillsyn/A 22110-2024 tillsynsbegäran.docx", "A 22110-2024")</f>
        <v/>
      </c>
      <c r="Y1022">
        <f>HYPERLINK("https://klasma.github.io/Logging_2463/tillsynsmail/A 22110-2024 tillsynsbegäran mail.docx", "A 22110-2024")</f>
        <v/>
      </c>
    </row>
    <row r="1023" ht="15" customHeight="1">
      <c r="A1023" t="inlineStr">
        <is>
          <t>A 22648-2024</t>
        </is>
      </c>
      <c r="B1023" s="1" t="n">
        <v>45447</v>
      </c>
      <c r="C1023" s="1" t="n">
        <v>45792</v>
      </c>
      <c r="D1023" t="inlineStr">
        <is>
          <t>VÄSTERBOTTENS LÄN</t>
        </is>
      </c>
      <c r="E1023" t="inlineStr">
        <is>
          <t>VÄNNÄS</t>
        </is>
      </c>
      <c r="F1023" t="inlineStr">
        <is>
          <t>Holmen skog AB</t>
        </is>
      </c>
      <c r="G1023" t="n">
        <v>5.5</v>
      </c>
      <c r="H1023" t="n">
        <v>2</v>
      </c>
      <c r="I1023" t="n">
        <v>1</v>
      </c>
      <c r="J1023" t="n">
        <v>1</v>
      </c>
      <c r="K1023" t="n">
        <v>0</v>
      </c>
      <c r="L1023" t="n">
        <v>0</v>
      </c>
      <c r="M1023" t="n">
        <v>0</v>
      </c>
      <c r="N1023" t="n">
        <v>0</v>
      </c>
      <c r="O1023" t="n">
        <v>1</v>
      </c>
      <c r="P1023" t="n">
        <v>0</v>
      </c>
      <c r="Q1023" t="n">
        <v>2</v>
      </c>
      <c r="R1023" s="2" t="inlineStr">
        <is>
          <t>Spillkråka
Spindelblomster</t>
        </is>
      </c>
      <c r="S1023">
        <f>HYPERLINK("https://klasma.github.io/Logging_2460/artfynd/A 22648-2024 artfynd.xlsx", "A 22648-2024")</f>
        <v/>
      </c>
      <c r="T1023">
        <f>HYPERLINK("https://klasma.github.io/Logging_2460/kartor/A 22648-2024 karta.png", "A 22648-2024")</f>
        <v/>
      </c>
      <c r="V1023">
        <f>HYPERLINK("https://klasma.github.io/Logging_2460/klagomål/A 22648-2024 FSC-klagomål.docx", "A 22648-2024")</f>
        <v/>
      </c>
      <c r="W1023">
        <f>HYPERLINK("https://klasma.github.io/Logging_2460/klagomålsmail/A 22648-2024 FSC-klagomål mail.docx", "A 22648-2024")</f>
        <v/>
      </c>
      <c r="X1023">
        <f>HYPERLINK("https://klasma.github.io/Logging_2460/tillsyn/A 22648-2024 tillsynsbegäran.docx", "A 22648-2024")</f>
        <v/>
      </c>
      <c r="Y1023">
        <f>HYPERLINK("https://klasma.github.io/Logging_2460/tillsynsmail/A 22648-2024 tillsynsbegäran mail.docx", "A 22648-2024")</f>
        <v/>
      </c>
      <c r="Z1023">
        <f>HYPERLINK("https://klasma.github.io/Logging_2460/fåglar/A 22648-2024 prioriterade fågelarter.docx", "A 22648-2024")</f>
        <v/>
      </c>
    </row>
    <row r="1024" ht="15" customHeight="1">
      <c r="A1024" t="inlineStr">
        <is>
          <t>A 24826-2024</t>
        </is>
      </c>
      <c r="B1024" s="1" t="n">
        <v>45461</v>
      </c>
      <c r="C1024" s="1" t="n">
        <v>45792</v>
      </c>
      <c r="D1024" t="inlineStr">
        <is>
          <t>VÄSTERBOTTENS LÄN</t>
        </is>
      </c>
      <c r="E1024" t="inlineStr">
        <is>
          <t>LYCKSELE</t>
        </is>
      </c>
      <c r="F1024" t="inlineStr">
        <is>
          <t>Sveaskog</t>
        </is>
      </c>
      <c r="G1024" t="n">
        <v>5.7</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HYPERLINK("https://klasma.github.io/Logging_2481/artfynd/A 24826-2024 artfynd.xlsx", "A 24826-2024")</f>
        <v/>
      </c>
      <c r="T1024">
        <f>HYPERLINK("https://klasma.github.io/Logging_2481/kartor/A 24826-2024 karta.png", "A 24826-2024")</f>
        <v/>
      </c>
      <c r="V1024">
        <f>HYPERLINK("https://klasma.github.io/Logging_2481/klagomål/A 24826-2024 FSC-klagomål.docx", "A 24826-2024")</f>
        <v/>
      </c>
      <c r="W1024">
        <f>HYPERLINK("https://klasma.github.io/Logging_2481/klagomålsmail/A 24826-2024 FSC-klagomål mail.docx", "A 24826-2024")</f>
        <v/>
      </c>
      <c r="X1024">
        <f>HYPERLINK("https://klasma.github.io/Logging_2481/tillsyn/A 24826-2024 tillsynsbegäran.docx", "A 24826-2024")</f>
        <v/>
      </c>
      <c r="Y1024">
        <f>HYPERLINK("https://klasma.github.io/Logging_2481/tillsynsmail/A 24826-2024 tillsynsbegäran mail.docx", "A 24826-2024")</f>
        <v/>
      </c>
    </row>
    <row r="1025" ht="15" customHeight="1">
      <c r="A1025" t="inlineStr">
        <is>
          <t>A 25037-2024</t>
        </is>
      </c>
      <c r="B1025" s="1" t="n">
        <v>45461</v>
      </c>
      <c r="C1025" s="1" t="n">
        <v>45792</v>
      </c>
      <c r="D1025" t="inlineStr">
        <is>
          <t>VÄSTERBOTTENS LÄN</t>
        </is>
      </c>
      <c r="E1025" t="inlineStr">
        <is>
          <t>VILHELMINA</t>
        </is>
      </c>
      <c r="F1025" t="inlineStr">
        <is>
          <t>SCA</t>
        </is>
      </c>
      <c r="G1025" t="n">
        <v>0.5</v>
      </c>
      <c r="H1025" t="n">
        <v>2</v>
      </c>
      <c r="I1025" t="n">
        <v>0</v>
      </c>
      <c r="J1025" t="n">
        <v>1</v>
      </c>
      <c r="K1025" t="n">
        <v>0</v>
      </c>
      <c r="L1025" t="n">
        <v>0</v>
      </c>
      <c r="M1025" t="n">
        <v>0</v>
      </c>
      <c r="N1025" t="n">
        <v>0</v>
      </c>
      <c r="O1025" t="n">
        <v>1</v>
      </c>
      <c r="P1025" t="n">
        <v>0</v>
      </c>
      <c r="Q1025" t="n">
        <v>2</v>
      </c>
      <c r="R1025" s="2" t="inlineStr">
        <is>
          <t>Tretåig hackspett
Lavskrika</t>
        </is>
      </c>
      <c r="S1025">
        <f>HYPERLINK("https://klasma.github.io/Logging_2462/artfynd/A 25037-2024 artfynd.xlsx", "A 25037-2024")</f>
        <v/>
      </c>
      <c r="T1025">
        <f>HYPERLINK("https://klasma.github.io/Logging_2462/kartor/A 25037-2024 karta.png", "A 25037-2024")</f>
        <v/>
      </c>
      <c r="V1025">
        <f>HYPERLINK("https://klasma.github.io/Logging_2462/klagomål/A 25037-2024 FSC-klagomål.docx", "A 25037-2024")</f>
        <v/>
      </c>
      <c r="W1025">
        <f>HYPERLINK("https://klasma.github.io/Logging_2462/klagomålsmail/A 25037-2024 FSC-klagomål mail.docx", "A 25037-2024")</f>
        <v/>
      </c>
      <c r="X1025">
        <f>HYPERLINK("https://klasma.github.io/Logging_2462/tillsyn/A 25037-2024 tillsynsbegäran.docx", "A 25037-2024")</f>
        <v/>
      </c>
      <c r="Y1025">
        <f>HYPERLINK("https://klasma.github.io/Logging_2462/tillsynsmail/A 25037-2024 tillsynsbegäran mail.docx", "A 25037-2024")</f>
        <v/>
      </c>
      <c r="Z1025">
        <f>HYPERLINK("https://klasma.github.io/Logging_2462/fåglar/A 25037-2024 prioriterade fågelarter.docx", "A 25037-2024")</f>
        <v/>
      </c>
    </row>
    <row r="1026" ht="15" customHeight="1">
      <c r="A1026" t="inlineStr">
        <is>
          <t>A 25668-2024</t>
        </is>
      </c>
      <c r="B1026" s="1" t="n">
        <v>45463</v>
      </c>
      <c r="C1026" s="1" t="n">
        <v>45792</v>
      </c>
      <c r="D1026" t="inlineStr">
        <is>
          <t>VÄSTERBOTTENS LÄN</t>
        </is>
      </c>
      <c r="E1026" t="inlineStr">
        <is>
          <t>BJURHOLM</t>
        </is>
      </c>
      <c r="G1026" t="n">
        <v>9.699999999999999</v>
      </c>
      <c r="H1026" t="n">
        <v>0</v>
      </c>
      <c r="I1026" t="n">
        <v>1</v>
      </c>
      <c r="J1026" t="n">
        <v>1</v>
      </c>
      <c r="K1026" t="n">
        <v>0</v>
      </c>
      <c r="L1026" t="n">
        <v>0</v>
      </c>
      <c r="M1026" t="n">
        <v>0</v>
      </c>
      <c r="N1026" t="n">
        <v>0</v>
      </c>
      <c r="O1026" t="n">
        <v>1</v>
      </c>
      <c r="P1026" t="n">
        <v>0</v>
      </c>
      <c r="Q1026" t="n">
        <v>2</v>
      </c>
      <c r="R1026" s="2" t="inlineStr">
        <is>
          <t>Stjärntagging
Tibast</t>
        </is>
      </c>
      <c r="S1026">
        <f>HYPERLINK("https://klasma.github.io/Logging_2403/artfynd/A 25668-2024 artfynd.xlsx", "A 25668-2024")</f>
        <v/>
      </c>
      <c r="T1026">
        <f>HYPERLINK("https://klasma.github.io/Logging_2403/kartor/A 25668-2024 karta.png", "A 25668-2024")</f>
        <v/>
      </c>
      <c r="V1026">
        <f>HYPERLINK("https://klasma.github.io/Logging_2403/klagomål/A 25668-2024 FSC-klagomål.docx", "A 25668-2024")</f>
        <v/>
      </c>
      <c r="W1026">
        <f>HYPERLINK("https://klasma.github.io/Logging_2403/klagomålsmail/A 25668-2024 FSC-klagomål mail.docx", "A 25668-2024")</f>
        <v/>
      </c>
      <c r="X1026">
        <f>HYPERLINK("https://klasma.github.io/Logging_2403/tillsyn/A 25668-2024 tillsynsbegäran.docx", "A 25668-2024")</f>
        <v/>
      </c>
      <c r="Y1026">
        <f>HYPERLINK("https://klasma.github.io/Logging_2403/tillsynsmail/A 25668-2024 tillsynsbegäran mail.docx", "A 25668-2024")</f>
        <v/>
      </c>
    </row>
    <row r="1027" ht="15" customHeight="1">
      <c r="A1027" t="inlineStr">
        <is>
          <t>A 25712-2024</t>
        </is>
      </c>
      <c r="B1027" s="1" t="n">
        <v>45463</v>
      </c>
      <c r="C1027" s="1" t="n">
        <v>45792</v>
      </c>
      <c r="D1027" t="inlineStr">
        <is>
          <t>VÄSTERBOTTENS LÄN</t>
        </is>
      </c>
      <c r="E1027" t="inlineStr">
        <is>
          <t>ÅSELE</t>
        </is>
      </c>
      <c r="F1027" t="inlineStr">
        <is>
          <t>SCA</t>
        </is>
      </c>
      <c r="G1027" t="n">
        <v>3.3</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HYPERLINK("https://klasma.github.io/Logging_2463/artfynd/A 25712-2024 artfynd.xlsx", "A 25712-2024")</f>
        <v/>
      </c>
      <c r="T1027">
        <f>HYPERLINK("https://klasma.github.io/Logging_2463/kartor/A 25712-2024 karta.png", "A 25712-2024")</f>
        <v/>
      </c>
      <c r="V1027">
        <f>HYPERLINK("https://klasma.github.io/Logging_2463/klagomål/A 25712-2024 FSC-klagomål.docx", "A 25712-2024")</f>
        <v/>
      </c>
      <c r="W1027">
        <f>HYPERLINK("https://klasma.github.io/Logging_2463/klagomålsmail/A 25712-2024 FSC-klagomål mail.docx", "A 25712-2024")</f>
        <v/>
      </c>
      <c r="X1027">
        <f>HYPERLINK("https://klasma.github.io/Logging_2463/tillsyn/A 25712-2024 tillsynsbegäran.docx", "A 25712-2024")</f>
        <v/>
      </c>
      <c r="Y1027">
        <f>HYPERLINK("https://klasma.github.io/Logging_2463/tillsynsmail/A 25712-2024 tillsynsbegäran mail.docx", "A 25712-2024")</f>
        <v/>
      </c>
    </row>
    <row r="1028" ht="15" customHeight="1">
      <c r="A1028" t="inlineStr">
        <is>
          <t>A 27295-2024</t>
        </is>
      </c>
      <c r="B1028" s="1" t="n">
        <v>45472</v>
      </c>
      <c r="C1028" s="1" t="n">
        <v>45792</v>
      </c>
      <c r="D1028" t="inlineStr">
        <is>
          <t>VÄSTERBOTTENS LÄN</t>
        </is>
      </c>
      <c r="E1028" t="inlineStr">
        <is>
          <t>BJURHOLM</t>
        </is>
      </c>
      <c r="F1028" t="inlineStr">
        <is>
          <t>SCA</t>
        </is>
      </c>
      <c r="G1028" t="n">
        <v>1.9</v>
      </c>
      <c r="H1028" t="n">
        <v>0</v>
      </c>
      <c r="I1028" t="n">
        <v>1</v>
      </c>
      <c r="J1028" t="n">
        <v>1</v>
      </c>
      <c r="K1028" t="n">
        <v>0</v>
      </c>
      <c r="L1028" t="n">
        <v>0</v>
      </c>
      <c r="M1028" t="n">
        <v>0</v>
      </c>
      <c r="N1028" t="n">
        <v>0</v>
      </c>
      <c r="O1028" t="n">
        <v>1</v>
      </c>
      <c r="P1028" t="n">
        <v>0</v>
      </c>
      <c r="Q1028" t="n">
        <v>2</v>
      </c>
      <c r="R1028" s="2" t="inlineStr">
        <is>
          <t>Kolflarnlav
Dropptaggsvamp</t>
        </is>
      </c>
      <c r="S1028">
        <f>HYPERLINK("https://klasma.github.io/Logging_2403/artfynd/A 27295-2024 artfynd.xlsx", "A 27295-2024")</f>
        <v/>
      </c>
      <c r="T1028">
        <f>HYPERLINK("https://klasma.github.io/Logging_2403/kartor/A 27295-2024 karta.png", "A 27295-2024")</f>
        <v/>
      </c>
      <c r="V1028">
        <f>HYPERLINK("https://klasma.github.io/Logging_2403/klagomål/A 27295-2024 FSC-klagomål.docx", "A 27295-2024")</f>
        <v/>
      </c>
      <c r="W1028">
        <f>HYPERLINK("https://klasma.github.io/Logging_2403/klagomålsmail/A 27295-2024 FSC-klagomål mail.docx", "A 27295-2024")</f>
        <v/>
      </c>
      <c r="X1028">
        <f>HYPERLINK("https://klasma.github.io/Logging_2403/tillsyn/A 27295-2024 tillsynsbegäran.docx", "A 27295-2024")</f>
        <v/>
      </c>
      <c r="Y1028">
        <f>HYPERLINK("https://klasma.github.io/Logging_2403/tillsynsmail/A 27295-2024 tillsynsbegäran mail.docx", "A 27295-2024")</f>
        <v/>
      </c>
    </row>
    <row r="1029" ht="15" customHeight="1">
      <c r="A1029" t="inlineStr">
        <is>
          <t>A 27698-2024</t>
        </is>
      </c>
      <c r="B1029" s="1" t="n">
        <v>45475</v>
      </c>
      <c r="C1029" s="1" t="n">
        <v>45792</v>
      </c>
      <c r="D1029" t="inlineStr">
        <is>
          <t>VÄSTERBOTTENS LÄN</t>
        </is>
      </c>
      <c r="E1029" t="inlineStr">
        <is>
          <t>LYCKSELE</t>
        </is>
      </c>
      <c r="G1029" t="n">
        <v>13.8</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HYPERLINK("https://klasma.github.io/Logging_2481/artfynd/A 27698-2024 artfynd.xlsx", "A 27698-2024")</f>
        <v/>
      </c>
      <c r="T1029">
        <f>HYPERLINK("https://klasma.github.io/Logging_2481/kartor/A 27698-2024 karta.png", "A 27698-2024")</f>
        <v/>
      </c>
      <c r="V1029">
        <f>HYPERLINK("https://klasma.github.io/Logging_2481/klagomål/A 27698-2024 FSC-klagomål.docx", "A 27698-2024")</f>
        <v/>
      </c>
      <c r="W1029">
        <f>HYPERLINK("https://klasma.github.io/Logging_2481/klagomålsmail/A 27698-2024 FSC-klagomål mail.docx", "A 27698-2024")</f>
        <v/>
      </c>
      <c r="X1029">
        <f>HYPERLINK("https://klasma.github.io/Logging_2481/tillsyn/A 27698-2024 tillsynsbegäran.docx", "A 27698-2024")</f>
        <v/>
      </c>
      <c r="Y1029">
        <f>HYPERLINK("https://klasma.github.io/Logging_2481/tillsynsmail/A 27698-2024 tillsynsbegäran mail.docx", "A 27698-2024")</f>
        <v/>
      </c>
    </row>
    <row r="1030" ht="15" customHeight="1">
      <c r="A1030" t="inlineStr">
        <is>
          <t>A 29072-2024</t>
        </is>
      </c>
      <c r="B1030" s="1" t="n">
        <v>45481</v>
      </c>
      <c r="C1030" s="1" t="n">
        <v>45792</v>
      </c>
      <c r="D1030" t="inlineStr">
        <is>
          <t>VÄSTERBOTTENS LÄN</t>
        </is>
      </c>
      <c r="E1030" t="inlineStr">
        <is>
          <t>VILHELMINA</t>
        </is>
      </c>
      <c r="G1030" t="n">
        <v>17.2</v>
      </c>
      <c r="H1030" t="n">
        <v>0</v>
      </c>
      <c r="I1030" t="n">
        <v>0</v>
      </c>
      <c r="J1030" t="n">
        <v>1</v>
      </c>
      <c r="K1030" t="n">
        <v>1</v>
      </c>
      <c r="L1030" t="n">
        <v>0</v>
      </c>
      <c r="M1030" t="n">
        <v>0</v>
      </c>
      <c r="N1030" t="n">
        <v>0</v>
      </c>
      <c r="O1030" t="n">
        <v>2</v>
      </c>
      <c r="P1030" t="n">
        <v>1</v>
      </c>
      <c r="Q1030" t="n">
        <v>2</v>
      </c>
      <c r="R1030" s="2" t="inlineStr">
        <is>
          <t>Rynkskinn
Harticka</t>
        </is>
      </c>
      <c r="S1030">
        <f>HYPERLINK("https://klasma.github.io/Logging_2462/artfynd/A 29072-2024 artfynd.xlsx", "A 29072-2024")</f>
        <v/>
      </c>
      <c r="T1030">
        <f>HYPERLINK("https://klasma.github.io/Logging_2462/kartor/A 29072-2024 karta.png", "A 29072-2024")</f>
        <v/>
      </c>
      <c r="V1030">
        <f>HYPERLINK("https://klasma.github.io/Logging_2462/klagomål/A 29072-2024 FSC-klagomål.docx", "A 29072-2024")</f>
        <v/>
      </c>
      <c r="W1030">
        <f>HYPERLINK("https://klasma.github.io/Logging_2462/klagomålsmail/A 29072-2024 FSC-klagomål mail.docx", "A 29072-2024")</f>
        <v/>
      </c>
      <c r="X1030">
        <f>HYPERLINK("https://klasma.github.io/Logging_2462/tillsyn/A 29072-2024 tillsynsbegäran.docx", "A 29072-2024")</f>
        <v/>
      </c>
      <c r="Y1030">
        <f>HYPERLINK("https://klasma.github.io/Logging_2462/tillsynsmail/A 29072-2024 tillsynsbegäran mail.docx", "A 29072-2024")</f>
        <v/>
      </c>
    </row>
    <row r="1031" ht="15" customHeight="1">
      <c r="A1031" t="inlineStr">
        <is>
          <t>A 31320-2024</t>
        </is>
      </c>
      <c r="B1031" s="1" t="n">
        <v>45504</v>
      </c>
      <c r="C1031" s="1" t="n">
        <v>45792</v>
      </c>
      <c r="D1031" t="inlineStr">
        <is>
          <t>VÄSTERBOTTENS LÄN</t>
        </is>
      </c>
      <c r="E1031" t="inlineStr">
        <is>
          <t>ROBERTSFORS</t>
        </is>
      </c>
      <c r="F1031" t="inlineStr">
        <is>
          <t>Holmen skog AB</t>
        </is>
      </c>
      <c r="G1031" t="n">
        <v>4.9</v>
      </c>
      <c r="H1031" t="n">
        <v>0</v>
      </c>
      <c r="I1031" t="n">
        <v>0</v>
      </c>
      <c r="J1031" t="n">
        <v>2</v>
      </c>
      <c r="K1031" t="n">
        <v>0</v>
      </c>
      <c r="L1031" t="n">
        <v>0</v>
      </c>
      <c r="M1031" t="n">
        <v>0</v>
      </c>
      <c r="N1031" t="n">
        <v>0</v>
      </c>
      <c r="O1031" t="n">
        <v>2</v>
      </c>
      <c r="P1031" t="n">
        <v>0</v>
      </c>
      <c r="Q1031" t="n">
        <v>2</v>
      </c>
      <c r="R1031" s="2" t="inlineStr">
        <is>
          <t>Kolflarnlav
Vedflamlav</t>
        </is>
      </c>
      <c r="S1031">
        <f>HYPERLINK("https://klasma.github.io/Logging_2409/artfynd/A 31320-2024 artfynd.xlsx", "A 31320-2024")</f>
        <v/>
      </c>
      <c r="T1031">
        <f>HYPERLINK("https://klasma.github.io/Logging_2409/kartor/A 31320-2024 karta.png", "A 31320-2024")</f>
        <v/>
      </c>
      <c r="V1031">
        <f>HYPERLINK("https://klasma.github.io/Logging_2409/klagomål/A 31320-2024 FSC-klagomål.docx", "A 31320-2024")</f>
        <v/>
      </c>
      <c r="W1031">
        <f>HYPERLINK("https://klasma.github.io/Logging_2409/klagomålsmail/A 31320-2024 FSC-klagomål mail.docx", "A 31320-2024")</f>
        <v/>
      </c>
      <c r="X1031">
        <f>HYPERLINK("https://klasma.github.io/Logging_2409/tillsyn/A 31320-2024 tillsynsbegäran.docx", "A 31320-2024")</f>
        <v/>
      </c>
      <c r="Y1031">
        <f>HYPERLINK("https://klasma.github.io/Logging_2409/tillsynsmail/A 31320-2024 tillsynsbegäran mail.docx", "A 31320-2024")</f>
        <v/>
      </c>
    </row>
    <row r="1032" ht="15" customHeight="1">
      <c r="A1032" t="inlineStr">
        <is>
          <t>A 32618-2024</t>
        </is>
      </c>
      <c r="B1032" s="1" t="n">
        <v>45513</v>
      </c>
      <c r="C1032" s="1" t="n">
        <v>45792</v>
      </c>
      <c r="D1032" t="inlineStr">
        <is>
          <t>VÄSTERBOTTENS LÄN</t>
        </is>
      </c>
      <c r="E1032" t="inlineStr">
        <is>
          <t>NORSJÖ</t>
        </is>
      </c>
      <c r="F1032" t="inlineStr">
        <is>
          <t>Holmen skog AB</t>
        </is>
      </c>
      <c r="G1032" t="n">
        <v>1.3</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HYPERLINK("https://klasma.github.io/Logging_2417/artfynd/A 32618-2024 artfynd.xlsx", "A 32618-2024")</f>
        <v/>
      </c>
      <c r="T1032">
        <f>HYPERLINK("https://klasma.github.io/Logging_2417/kartor/A 32618-2024 karta.png", "A 32618-2024")</f>
        <v/>
      </c>
      <c r="V1032">
        <f>HYPERLINK("https://klasma.github.io/Logging_2417/klagomål/A 32618-2024 FSC-klagomål.docx", "A 32618-2024")</f>
        <v/>
      </c>
      <c r="W1032">
        <f>HYPERLINK("https://klasma.github.io/Logging_2417/klagomålsmail/A 32618-2024 FSC-klagomål mail.docx", "A 32618-2024")</f>
        <v/>
      </c>
      <c r="X1032">
        <f>HYPERLINK("https://klasma.github.io/Logging_2417/tillsyn/A 32618-2024 tillsynsbegäran.docx", "A 32618-2024")</f>
        <v/>
      </c>
      <c r="Y1032">
        <f>HYPERLINK("https://klasma.github.io/Logging_2417/tillsynsmail/A 32618-2024 tillsynsbegäran mail.docx", "A 32618-2024")</f>
        <v/>
      </c>
    </row>
    <row r="1033" ht="15" customHeight="1">
      <c r="A1033" t="inlineStr">
        <is>
          <t>A 32731-2024</t>
        </is>
      </c>
      <c r="B1033" s="1" t="n">
        <v>45516</v>
      </c>
      <c r="C1033" s="1" t="n">
        <v>45792</v>
      </c>
      <c r="D1033" t="inlineStr">
        <is>
          <t>VÄSTERBOTTENS LÄN</t>
        </is>
      </c>
      <c r="E1033" t="inlineStr">
        <is>
          <t>LYCKSELE</t>
        </is>
      </c>
      <c r="F1033" t="inlineStr">
        <is>
          <t>Sveaskog</t>
        </is>
      </c>
      <c r="G1033" t="n">
        <v>4.8</v>
      </c>
      <c r="H1033" t="n">
        <v>0</v>
      </c>
      <c r="I1033" t="n">
        <v>0</v>
      </c>
      <c r="J1033" t="n">
        <v>2</v>
      </c>
      <c r="K1033" t="n">
        <v>0</v>
      </c>
      <c r="L1033" t="n">
        <v>0</v>
      </c>
      <c r="M1033" t="n">
        <v>0</v>
      </c>
      <c r="N1033" t="n">
        <v>0</v>
      </c>
      <c r="O1033" t="n">
        <v>2</v>
      </c>
      <c r="P1033" t="n">
        <v>0</v>
      </c>
      <c r="Q1033" t="n">
        <v>2</v>
      </c>
      <c r="R1033" s="2" t="inlineStr">
        <is>
          <t>Blå taggsvamp
Kolflarnlav</t>
        </is>
      </c>
      <c r="S1033">
        <f>HYPERLINK("https://klasma.github.io/Logging_2481/artfynd/A 32731-2024 artfynd.xlsx", "A 32731-2024")</f>
        <v/>
      </c>
      <c r="T1033">
        <f>HYPERLINK("https://klasma.github.io/Logging_2481/kartor/A 32731-2024 karta.png", "A 32731-2024")</f>
        <v/>
      </c>
      <c r="V1033">
        <f>HYPERLINK("https://klasma.github.io/Logging_2481/klagomål/A 32731-2024 FSC-klagomål.docx", "A 32731-2024")</f>
        <v/>
      </c>
      <c r="W1033">
        <f>HYPERLINK("https://klasma.github.io/Logging_2481/klagomålsmail/A 32731-2024 FSC-klagomål mail.docx", "A 32731-2024")</f>
        <v/>
      </c>
      <c r="X1033">
        <f>HYPERLINK("https://klasma.github.io/Logging_2481/tillsyn/A 32731-2024 tillsynsbegäran.docx", "A 32731-2024")</f>
        <v/>
      </c>
      <c r="Y1033">
        <f>HYPERLINK("https://klasma.github.io/Logging_2481/tillsynsmail/A 32731-2024 tillsynsbegäran mail.docx", "A 32731-2024")</f>
        <v/>
      </c>
    </row>
    <row r="1034" ht="15" customHeight="1">
      <c r="A1034" t="inlineStr">
        <is>
          <t>A 32705-2024</t>
        </is>
      </c>
      <c r="B1034" s="1" t="n">
        <v>45516</v>
      </c>
      <c r="C1034" s="1" t="n">
        <v>45792</v>
      </c>
      <c r="D1034" t="inlineStr">
        <is>
          <t>VÄSTERBOTTENS LÄN</t>
        </is>
      </c>
      <c r="E1034" t="inlineStr">
        <is>
          <t>VILHELMINA</t>
        </is>
      </c>
      <c r="G1034" t="n">
        <v>10.8</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HYPERLINK("https://klasma.github.io/Logging_2462/artfynd/A 32705-2024 artfynd.xlsx", "A 32705-2024")</f>
        <v/>
      </c>
      <c r="T1034">
        <f>HYPERLINK("https://klasma.github.io/Logging_2462/kartor/A 32705-2024 karta.png", "A 32705-2024")</f>
        <v/>
      </c>
      <c r="V1034">
        <f>HYPERLINK("https://klasma.github.io/Logging_2462/klagomål/A 32705-2024 FSC-klagomål.docx", "A 32705-2024")</f>
        <v/>
      </c>
      <c r="W1034">
        <f>HYPERLINK("https://klasma.github.io/Logging_2462/klagomålsmail/A 32705-2024 FSC-klagomål mail.docx", "A 32705-2024")</f>
        <v/>
      </c>
      <c r="X1034">
        <f>HYPERLINK("https://klasma.github.io/Logging_2462/tillsyn/A 32705-2024 tillsynsbegäran.docx", "A 32705-2024")</f>
        <v/>
      </c>
      <c r="Y1034">
        <f>HYPERLINK("https://klasma.github.io/Logging_2462/tillsynsmail/A 32705-2024 tillsynsbegäran mail.docx", "A 32705-2024")</f>
        <v/>
      </c>
      <c r="Z1034">
        <f>HYPERLINK("https://klasma.github.io/Logging_2462/fåglar/A 32705-2024 prioriterade fågelarter.docx", "A 32705-2024")</f>
        <v/>
      </c>
    </row>
    <row r="1035" ht="15" customHeight="1">
      <c r="A1035" t="inlineStr">
        <is>
          <t>A 33748-2024</t>
        </is>
      </c>
      <c r="B1035" s="1" t="n">
        <v>45520</v>
      </c>
      <c r="C1035" s="1" t="n">
        <v>45792</v>
      </c>
      <c r="D1035" t="inlineStr">
        <is>
          <t>VÄSTERBOTTENS LÄN</t>
        </is>
      </c>
      <c r="E1035" t="inlineStr">
        <is>
          <t>LYCKSELE</t>
        </is>
      </c>
      <c r="F1035" t="inlineStr">
        <is>
          <t>Sveaskog</t>
        </is>
      </c>
      <c r="G1035" t="n">
        <v>4.5</v>
      </c>
      <c r="H1035" t="n">
        <v>0</v>
      </c>
      <c r="I1035" t="n">
        <v>1</v>
      </c>
      <c r="J1035" t="n">
        <v>1</v>
      </c>
      <c r="K1035" t="n">
        <v>0</v>
      </c>
      <c r="L1035" t="n">
        <v>0</v>
      </c>
      <c r="M1035" t="n">
        <v>0</v>
      </c>
      <c r="N1035" t="n">
        <v>0</v>
      </c>
      <c r="O1035" t="n">
        <v>1</v>
      </c>
      <c r="P1035" t="n">
        <v>0</v>
      </c>
      <c r="Q1035" t="n">
        <v>2</v>
      </c>
      <c r="R1035" s="2" t="inlineStr">
        <is>
          <t>Blå taggsvamp
Skarp dropptaggsvamp</t>
        </is>
      </c>
      <c r="S1035">
        <f>HYPERLINK("https://klasma.github.io/Logging_2481/artfynd/A 33748-2024 artfynd.xlsx", "A 33748-2024")</f>
        <v/>
      </c>
      <c r="T1035">
        <f>HYPERLINK("https://klasma.github.io/Logging_2481/kartor/A 33748-2024 karta.png", "A 33748-2024")</f>
        <v/>
      </c>
      <c r="V1035">
        <f>HYPERLINK("https://klasma.github.io/Logging_2481/klagomål/A 33748-2024 FSC-klagomål.docx", "A 33748-2024")</f>
        <v/>
      </c>
      <c r="W1035">
        <f>HYPERLINK("https://klasma.github.io/Logging_2481/klagomålsmail/A 33748-2024 FSC-klagomål mail.docx", "A 33748-2024")</f>
        <v/>
      </c>
      <c r="X1035">
        <f>HYPERLINK("https://klasma.github.io/Logging_2481/tillsyn/A 33748-2024 tillsynsbegäran.docx", "A 33748-2024")</f>
        <v/>
      </c>
      <c r="Y1035">
        <f>HYPERLINK("https://klasma.github.io/Logging_2481/tillsynsmail/A 33748-2024 tillsynsbegäran mail.docx", "A 33748-2024")</f>
        <v/>
      </c>
    </row>
    <row r="1036" ht="15" customHeight="1">
      <c r="A1036" t="inlineStr">
        <is>
          <t>A 34050-2024</t>
        </is>
      </c>
      <c r="B1036" s="1" t="n">
        <v>45523</v>
      </c>
      <c r="C1036" s="1" t="n">
        <v>45792</v>
      </c>
      <c r="D1036" t="inlineStr">
        <is>
          <t>VÄSTERBOTTENS LÄN</t>
        </is>
      </c>
      <c r="E1036" t="inlineStr">
        <is>
          <t>UMEÅ</t>
        </is>
      </c>
      <c r="F1036" t="inlineStr">
        <is>
          <t>Holmen skog AB</t>
        </is>
      </c>
      <c r="G1036" t="n">
        <v>9.699999999999999</v>
      </c>
      <c r="H1036" t="n">
        <v>0</v>
      </c>
      <c r="I1036" t="n">
        <v>1</v>
      </c>
      <c r="J1036" t="n">
        <v>1</v>
      </c>
      <c r="K1036" t="n">
        <v>0</v>
      </c>
      <c r="L1036" t="n">
        <v>0</v>
      </c>
      <c r="M1036" t="n">
        <v>0</v>
      </c>
      <c r="N1036" t="n">
        <v>0</v>
      </c>
      <c r="O1036" t="n">
        <v>1</v>
      </c>
      <c r="P1036" t="n">
        <v>0</v>
      </c>
      <c r="Q1036" t="n">
        <v>2</v>
      </c>
      <c r="R1036" s="2" t="inlineStr">
        <is>
          <t>Gränsticka
Vedticka</t>
        </is>
      </c>
      <c r="S1036">
        <f>HYPERLINK("https://klasma.github.io/Logging_2480/artfynd/A 34050-2024 artfynd.xlsx", "A 34050-2024")</f>
        <v/>
      </c>
      <c r="T1036">
        <f>HYPERLINK("https://klasma.github.io/Logging_2480/kartor/A 34050-2024 karta.png", "A 34050-2024")</f>
        <v/>
      </c>
      <c r="V1036">
        <f>HYPERLINK("https://klasma.github.io/Logging_2480/klagomål/A 34050-2024 FSC-klagomål.docx", "A 34050-2024")</f>
        <v/>
      </c>
      <c r="W1036">
        <f>HYPERLINK("https://klasma.github.io/Logging_2480/klagomålsmail/A 34050-2024 FSC-klagomål mail.docx", "A 34050-2024")</f>
        <v/>
      </c>
      <c r="X1036">
        <f>HYPERLINK("https://klasma.github.io/Logging_2480/tillsyn/A 34050-2024 tillsynsbegäran.docx", "A 34050-2024")</f>
        <v/>
      </c>
      <c r="Y1036">
        <f>HYPERLINK("https://klasma.github.io/Logging_2480/tillsynsmail/A 34050-2024 tillsynsbegäran mail.docx", "A 34050-2024")</f>
        <v/>
      </c>
    </row>
    <row r="1037" ht="15" customHeight="1">
      <c r="A1037" t="inlineStr">
        <is>
          <t>A 34892-2024</t>
        </is>
      </c>
      <c r="B1037" s="1" t="n">
        <v>45527</v>
      </c>
      <c r="C1037" s="1" t="n">
        <v>45792</v>
      </c>
      <c r="D1037" t="inlineStr">
        <is>
          <t>VÄSTERBOTTENS LÄN</t>
        </is>
      </c>
      <c r="E1037" t="inlineStr">
        <is>
          <t>STORUMAN</t>
        </is>
      </c>
      <c r="F1037" t="inlineStr">
        <is>
          <t>SCA</t>
        </is>
      </c>
      <c r="G1037" t="n">
        <v>5.7</v>
      </c>
      <c r="H1037" t="n">
        <v>2</v>
      </c>
      <c r="I1037" t="n">
        <v>2</v>
      </c>
      <c r="J1037" t="n">
        <v>0</v>
      </c>
      <c r="K1037" t="n">
        <v>0</v>
      </c>
      <c r="L1037" t="n">
        <v>0</v>
      </c>
      <c r="M1037" t="n">
        <v>0</v>
      </c>
      <c r="N1037" t="n">
        <v>0</v>
      </c>
      <c r="O1037" t="n">
        <v>0</v>
      </c>
      <c r="P1037" t="n">
        <v>0</v>
      </c>
      <c r="Q1037" t="n">
        <v>2</v>
      </c>
      <c r="R1037" s="2" t="inlineStr">
        <is>
          <t>Plattlummer
Spindelblomster</t>
        </is>
      </c>
      <c r="S1037">
        <f>HYPERLINK("https://klasma.github.io/Logging_2421/artfynd/A 34892-2024 artfynd.xlsx", "A 34892-2024")</f>
        <v/>
      </c>
      <c r="T1037">
        <f>HYPERLINK("https://klasma.github.io/Logging_2421/kartor/A 34892-2024 karta.png", "A 34892-2024")</f>
        <v/>
      </c>
      <c r="U1037">
        <f>HYPERLINK("https://klasma.github.io/Logging_2421/knärot/A 34892-2024 karta knärot.png", "A 34892-2024")</f>
        <v/>
      </c>
      <c r="V1037">
        <f>HYPERLINK("https://klasma.github.io/Logging_2421/klagomål/A 34892-2024 FSC-klagomål.docx", "A 34892-2024")</f>
        <v/>
      </c>
      <c r="W1037">
        <f>HYPERLINK("https://klasma.github.io/Logging_2421/klagomålsmail/A 34892-2024 FSC-klagomål mail.docx", "A 34892-2024")</f>
        <v/>
      </c>
      <c r="X1037">
        <f>HYPERLINK("https://klasma.github.io/Logging_2421/tillsyn/A 34892-2024 tillsynsbegäran.docx", "A 34892-2024")</f>
        <v/>
      </c>
      <c r="Y1037">
        <f>HYPERLINK("https://klasma.github.io/Logging_2421/tillsynsmail/A 34892-2024 tillsynsbegäran mail.docx", "A 34892-2024")</f>
        <v/>
      </c>
    </row>
    <row r="1038" ht="15" customHeight="1">
      <c r="A1038" t="inlineStr">
        <is>
          <t>A 35030-2024</t>
        </is>
      </c>
      <c r="B1038" s="1" t="n">
        <v>45527</v>
      </c>
      <c r="C1038" s="1" t="n">
        <v>45792</v>
      </c>
      <c r="D1038" t="inlineStr">
        <is>
          <t>VÄSTERBOTTENS LÄN</t>
        </is>
      </c>
      <c r="E1038" t="inlineStr">
        <is>
          <t>VINDELN</t>
        </is>
      </c>
      <c r="F1038" t="inlineStr">
        <is>
          <t>Holmen skog AB</t>
        </is>
      </c>
      <c r="G1038" t="n">
        <v>17.9</v>
      </c>
      <c r="H1038" t="n">
        <v>0</v>
      </c>
      <c r="I1038" t="n">
        <v>2</v>
      </c>
      <c r="J1038" t="n">
        <v>0</v>
      </c>
      <c r="K1038" t="n">
        <v>0</v>
      </c>
      <c r="L1038" t="n">
        <v>0</v>
      </c>
      <c r="M1038" t="n">
        <v>0</v>
      </c>
      <c r="N1038" t="n">
        <v>0</v>
      </c>
      <c r="O1038" t="n">
        <v>0</v>
      </c>
      <c r="P1038" t="n">
        <v>0</v>
      </c>
      <c r="Q1038" t="n">
        <v>2</v>
      </c>
      <c r="R1038" s="2" t="inlineStr">
        <is>
          <t>Luddlav
Stuplav</t>
        </is>
      </c>
      <c r="S1038">
        <f>HYPERLINK("https://klasma.github.io/Logging_2404/artfynd/A 35030-2024 artfynd.xlsx", "A 35030-2024")</f>
        <v/>
      </c>
      <c r="T1038">
        <f>HYPERLINK("https://klasma.github.io/Logging_2404/kartor/A 35030-2024 karta.png", "A 35030-2024")</f>
        <v/>
      </c>
      <c r="V1038">
        <f>HYPERLINK("https://klasma.github.io/Logging_2404/klagomål/A 35030-2024 FSC-klagomål.docx", "A 35030-2024")</f>
        <v/>
      </c>
      <c r="W1038">
        <f>HYPERLINK("https://klasma.github.io/Logging_2404/klagomålsmail/A 35030-2024 FSC-klagomål mail.docx", "A 35030-2024")</f>
        <v/>
      </c>
      <c r="X1038">
        <f>HYPERLINK("https://klasma.github.io/Logging_2404/tillsyn/A 35030-2024 tillsynsbegäran.docx", "A 35030-2024")</f>
        <v/>
      </c>
      <c r="Y1038">
        <f>HYPERLINK("https://klasma.github.io/Logging_2404/tillsynsmail/A 35030-2024 tillsynsbegäran mail.docx", "A 35030-2024")</f>
        <v/>
      </c>
    </row>
    <row r="1039" ht="15" customHeight="1">
      <c r="A1039" t="inlineStr">
        <is>
          <t>A 35430-2024</t>
        </is>
      </c>
      <c r="B1039" s="1" t="n">
        <v>45531</v>
      </c>
      <c r="C1039" s="1" t="n">
        <v>45792</v>
      </c>
      <c r="D1039" t="inlineStr">
        <is>
          <t>VÄSTERBOTTENS LÄN</t>
        </is>
      </c>
      <c r="E1039" t="inlineStr">
        <is>
          <t>NORSJÖ</t>
        </is>
      </c>
      <c r="G1039" t="n">
        <v>6.1</v>
      </c>
      <c r="H1039" t="n">
        <v>2</v>
      </c>
      <c r="I1039" t="n">
        <v>0</v>
      </c>
      <c r="J1039" t="n">
        <v>0</v>
      </c>
      <c r="K1039" t="n">
        <v>0</v>
      </c>
      <c r="L1039" t="n">
        <v>0</v>
      </c>
      <c r="M1039" t="n">
        <v>0</v>
      </c>
      <c r="N1039" t="n">
        <v>0</v>
      </c>
      <c r="O1039" t="n">
        <v>0</v>
      </c>
      <c r="P1039" t="n">
        <v>0</v>
      </c>
      <c r="Q1039" t="n">
        <v>2</v>
      </c>
      <c r="R1039" s="2" t="inlineStr">
        <is>
          <t>Orre
Tjäder</t>
        </is>
      </c>
      <c r="S1039">
        <f>HYPERLINK("https://klasma.github.io/Logging_2417/artfynd/A 35430-2024 artfynd.xlsx", "A 35430-2024")</f>
        <v/>
      </c>
      <c r="T1039">
        <f>HYPERLINK("https://klasma.github.io/Logging_2417/kartor/A 35430-2024 karta.png", "A 35430-2024")</f>
        <v/>
      </c>
      <c r="V1039">
        <f>HYPERLINK("https://klasma.github.io/Logging_2417/klagomål/A 35430-2024 FSC-klagomål.docx", "A 35430-2024")</f>
        <v/>
      </c>
      <c r="W1039">
        <f>HYPERLINK("https://klasma.github.io/Logging_2417/klagomålsmail/A 35430-2024 FSC-klagomål mail.docx", "A 35430-2024")</f>
        <v/>
      </c>
      <c r="X1039">
        <f>HYPERLINK("https://klasma.github.io/Logging_2417/tillsyn/A 35430-2024 tillsynsbegäran.docx", "A 35430-2024")</f>
        <v/>
      </c>
      <c r="Y1039">
        <f>HYPERLINK("https://klasma.github.io/Logging_2417/tillsynsmail/A 35430-2024 tillsynsbegäran mail.docx", "A 35430-2024")</f>
        <v/>
      </c>
      <c r="Z1039">
        <f>HYPERLINK("https://klasma.github.io/Logging_2417/fåglar/A 35430-2024 prioriterade fågelarter.docx", "A 35430-2024")</f>
        <v/>
      </c>
    </row>
    <row r="1040" ht="15" customHeight="1">
      <c r="A1040" t="inlineStr">
        <is>
          <t>A 35612-2024</t>
        </is>
      </c>
      <c r="B1040" s="1" t="n">
        <v>45531</v>
      </c>
      <c r="C1040" s="1" t="n">
        <v>45792</v>
      </c>
      <c r="D1040" t="inlineStr">
        <is>
          <t>VÄSTERBOTTENS LÄN</t>
        </is>
      </c>
      <c r="E1040" t="inlineStr">
        <is>
          <t>UMEÅ</t>
        </is>
      </c>
      <c r="G1040" t="n">
        <v>5.5</v>
      </c>
      <c r="H1040" t="n">
        <v>0</v>
      </c>
      <c r="I1040" t="n">
        <v>2</v>
      </c>
      <c r="J1040" t="n">
        <v>0</v>
      </c>
      <c r="K1040" t="n">
        <v>0</v>
      </c>
      <c r="L1040" t="n">
        <v>0</v>
      </c>
      <c r="M1040" t="n">
        <v>0</v>
      </c>
      <c r="N1040" t="n">
        <v>0</v>
      </c>
      <c r="O1040" t="n">
        <v>0</v>
      </c>
      <c r="P1040" t="n">
        <v>0</v>
      </c>
      <c r="Q1040" t="n">
        <v>2</v>
      </c>
      <c r="R1040" s="2" t="inlineStr">
        <is>
          <t>Dropptaggsvamp
Vedticka</t>
        </is>
      </c>
      <c r="S1040">
        <f>HYPERLINK("https://klasma.github.io/Logging_2480/artfynd/A 35612-2024 artfynd.xlsx", "A 35612-2024")</f>
        <v/>
      </c>
      <c r="T1040">
        <f>HYPERLINK("https://klasma.github.io/Logging_2480/kartor/A 35612-2024 karta.png", "A 35612-2024")</f>
        <v/>
      </c>
      <c r="V1040">
        <f>HYPERLINK("https://klasma.github.io/Logging_2480/klagomål/A 35612-2024 FSC-klagomål.docx", "A 35612-2024")</f>
        <v/>
      </c>
      <c r="W1040">
        <f>HYPERLINK("https://klasma.github.io/Logging_2480/klagomålsmail/A 35612-2024 FSC-klagomål mail.docx", "A 35612-2024")</f>
        <v/>
      </c>
      <c r="X1040">
        <f>HYPERLINK("https://klasma.github.io/Logging_2480/tillsyn/A 35612-2024 tillsynsbegäran.docx", "A 35612-2024")</f>
        <v/>
      </c>
      <c r="Y1040">
        <f>HYPERLINK("https://klasma.github.io/Logging_2480/tillsynsmail/A 35612-2024 tillsynsbegäran mail.docx", "A 35612-2024")</f>
        <v/>
      </c>
    </row>
    <row r="1041" ht="15" customHeight="1">
      <c r="A1041" t="inlineStr">
        <is>
          <t>A 36338-2024</t>
        </is>
      </c>
      <c r="B1041" s="1" t="n">
        <v>45534</v>
      </c>
      <c r="C1041" s="1" t="n">
        <v>45792</v>
      </c>
      <c r="D1041" t="inlineStr">
        <is>
          <t>VÄSTERBOTTENS LÄN</t>
        </is>
      </c>
      <c r="E1041" t="inlineStr">
        <is>
          <t>SKELLEFTEÅ</t>
        </is>
      </c>
      <c r="F1041" t="inlineStr">
        <is>
          <t>SCA</t>
        </is>
      </c>
      <c r="G1041" t="n">
        <v>1.1</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HYPERLINK("https://klasma.github.io/Logging_2482/artfynd/A 36338-2024 artfynd.xlsx", "A 36338-2024")</f>
        <v/>
      </c>
      <c r="T1041">
        <f>HYPERLINK("https://klasma.github.io/Logging_2482/kartor/A 36338-2024 karta.png", "A 36338-2024")</f>
        <v/>
      </c>
      <c r="V1041">
        <f>HYPERLINK("https://klasma.github.io/Logging_2482/klagomål/A 36338-2024 FSC-klagomål.docx", "A 36338-2024")</f>
        <v/>
      </c>
      <c r="W1041">
        <f>HYPERLINK("https://klasma.github.io/Logging_2482/klagomålsmail/A 36338-2024 FSC-klagomål mail.docx", "A 36338-2024")</f>
        <v/>
      </c>
      <c r="X1041">
        <f>HYPERLINK("https://klasma.github.io/Logging_2482/tillsyn/A 36338-2024 tillsynsbegäran.docx", "A 36338-2024")</f>
        <v/>
      </c>
      <c r="Y1041">
        <f>HYPERLINK("https://klasma.github.io/Logging_2482/tillsynsmail/A 36338-2024 tillsynsbegäran mail.docx", "A 36338-2024")</f>
        <v/>
      </c>
    </row>
    <row r="1042" ht="15" customHeight="1">
      <c r="A1042" t="inlineStr">
        <is>
          <t>A 37548-2024</t>
        </is>
      </c>
      <c r="B1042" s="1" t="n">
        <v>45541</v>
      </c>
      <c r="C1042" s="1" t="n">
        <v>45792</v>
      </c>
      <c r="D1042" t="inlineStr">
        <is>
          <t>VÄSTERBOTTENS LÄN</t>
        </is>
      </c>
      <c r="E1042" t="inlineStr">
        <is>
          <t>LYCKSELE</t>
        </is>
      </c>
      <c r="F1042" t="inlineStr">
        <is>
          <t>Sveaskog</t>
        </is>
      </c>
      <c r="G1042" t="n">
        <v>13.5</v>
      </c>
      <c r="H1042" t="n">
        <v>0</v>
      </c>
      <c r="I1042" t="n">
        <v>1</v>
      </c>
      <c r="J1042" t="n">
        <v>1</v>
      </c>
      <c r="K1042" t="n">
        <v>0</v>
      </c>
      <c r="L1042" t="n">
        <v>0</v>
      </c>
      <c r="M1042" t="n">
        <v>0</v>
      </c>
      <c r="N1042" t="n">
        <v>0</v>
      </c>
      <c r="O1042" t="n">
        <v>1</v>
      </c>
      <c r="P1042" t="n">
        <v>0</v>
      </c>
      <c r="Q1042" t="n">
        <v>2</v>
      </c>
      <c r="R1042" s="2" t="inlineStr">
        <is>
          <t>Kolflarnlav
Skarp dropptaggsvamp</t>
        </is>
      </c>
      <c r="S1042">
        <f>HYPERLINK("https://klasma.github.io/Logging_2481/artfynd/A 37548-2024 artfynd.xlsx", "A 37548-2024")</f>
        <v/>
      </c>
      <c r="T1042">
        <f>HYPERLINK("https://klasma.github.io/Logging_2481/kartor/A 37548-2024 karta.png", "A 37548-2024")</f>
        <v/>
      </c>
      <c r="V1042">
        <f>HYPERLINK("https://klasma.github.io/Logging_2481/klagomål/A 37548-2024 FSC-klagomål.docx", "A 37548-2024")</f>
        <v/>
      </c>
      <c r="W1042">
        <f>HYPERLINK("https://klasma.github.io/Logging_2481/klagomålsmail/A 37548-2024 FSC-klagomål mail.docx", "A 37548-2024")</f>
        <v/>
      </c>
      <c r="X1042">
        <f>HYPERLINK("https://klasma.github.io/Logging_2481/tillsyn/A 37548-2024 tillsynsbegäran.docx", "A 37548-2024")</f>
        <v/>
      </c>
      <c r="Y1042">
        <f>HYPERLINK("https://klasma.github.io/Logging_2481/tillsynsmail/A 37548-2024 tillsynsbegäran mail.docx", "A 37548-2024")</f>
        <v/>
      </c>
    </row>
    <row r="1043" ht="15" customHeight="1">
      <c r="A1043" t="inlineStr">
        <is>
          <t>A 37513-2024</t>
        </is>
      </c>
      <c r="B1043" s="1" t="n">
        <v>45541</v>
      </c>
      <c r="C1043" s="1" t="n">
        <v>45792</v>
      </c>
      <c r="D1043" t="inlineStr">
        <is>
          <t>VÄSTERBOTTENS LÄN</t>
        </is>
      </c>
      <c r="E1043" t="inlineStr">
        <is>
          <t>VILHELMINA</t>
        </is>
      </c>
      <c r="F1043" t="inlineStr">
        <is>
          <t>SCA</t>
        </is>
      </c>
      <c r="G1043" t="n">
        <v>3.4</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HYPERLINK("https://klasma.github.io/Logging_2462/artfynd/A 37513-2024 artfynd.xlsx", "A 37513-2024")</f>
        <v/>
      </c>
      <c r="T1043">
        <f>HYPERLINK("https://klasma.github.io/Logging_2462/kartor/A 37513-2024 karta.png", "A 37513-2024")</f>
        <v/>
      </c>
      <c r="V1043">
        <f>HYPERLINK("https://klasma.github.io/Logging_2462/klagomål/A 37513-2024 FSC-klagomål.docx", "A 37513-2024")</f>
        <v/>
      </c>
      <c r="W1043">
        <f>HYPERLINK("https://klasma.github.io/Logging_2462/klagomålsmail/A 37513-2024 FSC-klagomål mail.docx", "A 37513-2024")</f>
        <v/>
      </c>
      <c r="X1043">
        <f>HYPERLINK("https://klasma.github.io/Logging_2462/tillsyn/A 37513-2024 tillsynsbegäran.docx", "A 37513-2024")</f>
        <v/>
      </c>
      <c r="Y1043">
        <f>HYPERLINK("https://klasma.github.io/Logging_2462/tillsynsmail/A 37513-2024 tillsynsbegäran mail.docx", "A 37513-2024")</f>
        <v/>
      </c>
    </row>
    <row r="1044" ht="15" customHeight="1">
      <c r="A1044" t="inlineStr">
        <is>
          <t>A 38052-2024</t>
        </is>
      </c>
      <c r="B1044" s="1" t="n">
        <v>45544</v>
      </c>
      <c r="C1044" s="1" t="n">
        <v>45792</v>
      </c>
      <c r="D1044" t="inlineStr">
        <is>
          <t>VÄSTERBOTTENS LÄN</t>
        </is>
      </c>
      <c r="E1044" t="inlineStr">
        <is>
          <t>NORSJÖ</t>
        </is>
      </c>
      <c r="F1044" t="inlineStr">
        <is>
          <t>Holmen skog AB</t>
        </is>
      </c>
      <c r="G1044" t="n">
        <v>3.4</v>
      </c>
      <c r="H1044" t="n">
        <v>1</v>
      </c>
      <c r="I1044" t="n">
        <v>0</v>
      </c>
      <c r="J1044" t="n">
        <v>1</v>
      </c>
      <c r="K1044" t="n">
        <v>0</v>
      </c>
      <c r="L1044" t="n">
        <v>0</v>
      </c>
      <c r="M1044" t="n">
        <v>0</v>
      </c>
      <c r="N1044" t="n">
        <v>0</v>
      </c>
      <c r="O1044" t="n">
        <v>1</v>
      </c>
      <c r="P1044" t="n">
        <v>0</v>
      </c>
      <c r="Q1044" t="n">
        <v>2</v>
      </c>
      <c r="R1044" s="2" t="inlineStr">
        <is>
          <t>Garnlav
Fläcknycklar</t>
        </is>
      </c>
      <c r="S1044">
        <f>HYPERLINK("https://klasma.github.io/Logging_2417/artfynd/A 38052-2024 artfynd.xlsx", "A 38052-2024")</f>
        <v/>
      </c>
      <c r="T1044">
        <f>HYPERLINK("https://klasma.github.io/Logging_2417/kartor/A 38052-2024 karta.png", "A 38052-2024")</f>
        <v/>
      </c>
      <c r="V1044">
        <f>HYPERLINK("https://klasma.github.io/Logging_2417/klagomål/A 38052-2024 FSC-klagomål.docx", "A 38052-2024")</f>
        <v/>
      </c>
      <c r="W1044">
        <f>HYPERLINK("https://klasma.github.io/Logging_2417/klagomålsmail/A 38052-2024 FSC-klagomål mail.docx", "A 38052-2024")</f>
        <v/>
      </c>
      <c r="X1044">
        <f>HYPERLINK("https://klasma.github.io/Logging_2417/tillsyn/A 38052-2024 tillsynsbegäran.docx", "A 38052-2024")</f>
        <v/>
      </c>
      <c r="Y1044">
        <f>HYPERLINK("https://klasma.github.io/Logging_2417/tillsynsmail/A 38052-2024 tillsynsbegäran mail.docx", "A 38052-2024")</f>
        <v/>
      </c>
    </row>
    <row r="1045" ht="15" customHeight="1">
      <c r="A1045" t="inlineStr">
        <is>
          <t>A 38207-2024</t>
        </is>
      </c>
      <c r="B1045" s="1" t="n">
        <v>45545</v>
      </c>
      <c r="C1045" s="1" t="n">
        <v>45792</v>
      </c>
      <c r="D1045" t="inlineStr">
        <is>
          <t>VÄSTERBOTTENS LÄN</t>
        </is>
      </c>
      <c r="E1045" t="inlineStr">
        <is>
          <t>VILHELMINA</t>
        </is>
      </c>
      <c r="F1045" t="inlineStr">
        <is>
          <t>Sveaskog</t>
        </is>
      </c>
      <c r="G1045" t="n">
        <v>4</v>
      </c>
      <c r="H1045" t="n">
        <v>0</v>
      </c>
      <c r="I1045" t="n">
        <v>0</v>
      </c>
      <c r="J1045" t="n">
        <v>2</v>
      </c>
      <c r="K1045" t="n">
        <v>0</v>
      </c>
      <c r="L1045" t="n">
        <v>0</v>
      </c>
      <c r="M1045" t="n">
        <v>0</v>
      </c>
      <c r="N1045" t="n">
        <v>0</v>
      </c>
      <c r="O1045" t="n">
        <v>2</v>
      </c>
      <c r="P1045" t="n">
        <v>0</v>
      </c>
      <c r="Q1045" t="n">
        <v>2</v>
      </c>
      <c r="R1045" s="2" t="inlineStr">
        <is>
          <t>Garnlav
Gränsticka</t>
        </is>
      </c>
      <c r="S1045">
        <f>HYPERLINK("https://klasma.github.io/Logging_2462/artfynd/A 38207-2024 artfynd.xlsx", "A 38207-2024")</f>
        <v/>
      </c>
      <c r="T1045">
        <f>HYPERLINK("https://klasma.github.io/Logging_2462/kartor/A 38207-2024 karta.png", "A 38207-2024")</f>
        <v/>
      </c>
      <c r="V1045">
        <f>HYPERLINK("https://klasma.github.io/Logging_2462/klagomål/A 38207-2024 FSC-klagomål.docx", "A 38207-2024")</f>
        <v/>
      </c>
      <c r="W1045">
        <f>HYPERLINK("https://klasma.github.io/Logging_2462/klagomålsmail/A 38207-2024 FSC-klagomål mail.docx", "A 38207-2024")</f>
        <v/>
      </c>
      <c r="X1045">
        <f>HYPERLINK("https://klasma.github.io/Logging_2462/tillsyn/A 38207-2024 tillsynsbegäran.docx", "A 38207-2024")</f>
        <v/>
      </c>
      <c r="Y1045">
        <f>HYPERLINK("https://klasma.github.io/Logging_2462/tillsynsmail/A 38207-2024 tillsynsbegäran mail.docx", "A 38207-2024")</f>
        <v/>
      </c>
    </row>
    <row r="1046" ht="15" customHeight="1">
      <c r="A1046" t="inlineStr">
        <is>
          <t>A 40718-2024</t>
        </is>
      </c>
      <c r="B1046" s="1" t="n">
        <v>45558</v>
      </c>
      <c r="C1046" s="1" t="n">
        <v>45792</v>
      </c>
      <c r="D1046" t="inlineStr">
        <is>
          <t>VÄSTERBOTTENS LÄN</t>
        </is>
      </c>
      <c r="E1046" t="inlineStr">
        <is>
          <t>VILHELMINA</t>
        </is>
      </c>
      <c r="F1046" t="inlineStr">
        <is>
          <t>Allmännings- och besparingsskogar</t>
        </is>
      </c>
      <c r="G1046" t="n">
        <v>2.8</v>
      </c>
      <c r="H1046" t="n">
        <v>1</v>
      </c>
      <c r="I1046" t="n">
        <v>0</v>
      </c>
      <c r="J1046" t="n">
        <v>2</v>
      </c>
      <c r="K1046" t="n">
        <v>0</v>
      </c>
      <c r="L1046" t="n">
        <v>0</v>
      </c>
      <c r="M1046" t="n">
        <v>0</v>
      </c>
      <c r="N1046" t="n">
        <v>0</v>
      </c>
      <c r="O1046" t="n">
        <v>2</v>
      </c>
      <c r="P1046" t="n">
        <v>0</v>
      </c>
      <c r="Q1046" t="n">
        <v>2</v>
      </c>
      <c r="R1046" s="2" t="inlineStr">
        <is>
          <t>Garnlav
Järpe</t>
        </is>
      </c>
      <c r="S1046">
        <f>HYPERLINK("https://klasma.github.io/Logging_2462/artfynd/A 40718-2024 artfynd.xlsx", "A 40718-2024")</f>
        <v/>
      </c>
      <c r="T1046">
        <f>HYPERLINK("https://klasma.github.io/Logging_2462/kartor/A 40718-2024 karta.png", "A 40718-2024")</f>
        <v/>
      </c>
      <c r="V1046">
        <f>HYPERLINK("https://klasma.github.io/Logging_2462/klagomål/A 40718-2024 FSC-klagomål.docx", "A 40718-2024")</f>
        <v/>
      </c>
      <c r="W1046">
        <f>HYPERLINK("https://klasma.github.io/Logging_2462/klagomålsmail/A 40718-2024 FSC-klagomål mail.docx", "A 40718-2024")</f>
        <v/>
      </c>
      <c r="X1046">
        <f>HYPERLINK("https://klasma.github.io/Logging_2462/tillsyn/A 40718-2024 tillsynsbegäran.docx", "A 40718-2024")</f>
        <v/>
      </c>
      <c r="Y1046">
        <f>HYPERLINK("https://klasma.github.io/Logging_2462/tillsynsmail/A 40718-2024 tillsynsbegäran mail.docx", "A 40718-2024")</f>
        <v/>
      </c>
      <c r="Z1046">
        <f>HYPERLINK("https://klasma.github.io/Logging_2462/fåglar/A 40718-2024 prioriterade fågelarter.docx", "A 40718-2024")</f>
        <v/>
      </c>
    </row>
    <row r="1047" ht="15" customHeight="1">
      <c r="A1047" t="inlineStr">
        <is>
          <t>A 41223-2024</t>
        </is>
      </c>
      <c r="B1047" s="1" t="n">
        <v>45559</v>
      </c>
      <c r="C1047" s="1" t="n">
        <v>45792</v>
      </c>
      <c r="D1047" t="inlineStr">
        <is>
          <t>VÄSTERBOTTENS LÄN</t>
        </is>
      </c>
      <c r="E1047" t="inlineStr">
        <is>
          <t>LYCKSELE</t>
        </is>
      </c>
      <c r="F1047" t="inlineStr">
        <is>
          <t>Sveaskog</t>
        </is>
      </c>
      <c r="G1047" t="n">
        <v>5.4</v>
      </c>
      <c r="H1047" t="n">
        <v>0</v>
      </c>
      <c r="I1047" t="n">
        <v>0</v>
      </c>
      <c r="J1047" t="n">
        <v>2</v>
      </c>
      <c r="K1047" t="n">
        <v>0</v>
      </c>
      <c r="L1047" t="n">
        <v>0</v>
      </c>
      <c r="M1047" t="n">
        <v>0</v>
      </c>
      <c r="N1047" t="n">
        <v>0</v>
      </c>
      <c r="O1047" t="n">
        <v>2</v>
      </c>
      <c r="P1047" t="n">
        <v>0</v>
      </c>
      <c r="Q1047" t="n">
        <v>2</v>
      </c>
      <c r="R1047" s="2" t="inlineStr">
        <is>
          <t>Garnlav
Violettgrå tagellav</t>
        </is>
      </c>
      <c r="S1047">
        <f>HYPERLINK("https://klasma.github.io/Logging_2481/artfynd/A 41223-2024 artfynd.xlsx", "A 41223-2024")</f>
        <v/>
      </c>
      <c r="T1047">
        <f>HYPERLINK("https://klasma.github.io/Logging_2481/kartor/A 41223-2024 karta.png", "A 41223-2024")</f>
        <v/>
      </c>
      <c r="V1047">
        <f>HYPERLINK("https://klasma.github.io/Logging_2481/klagomål/A 41223-2024 FSC-klagomål.docx", "A 41223-2024")</f>
        <v/>
      </c>
      <c r="W1047">
        <f>HYPERLINK("https://klasma.github.io/Logging_2481/klagomålsmail/A 41223-2024 FSC-klagomål mail.docx", "A 41223-2024")</f>
        <v/>
      </c>
      <c r="X1047">
        <f>HYPERLINK("https://klasma.github.io/Logging_2481/tillsyn/A 41223-2024 tillsynsbegäran.docx", "A 41223-2024")</f>
        <v/>
      </c>
      <c r="Y1047">
        <f>HYPERLINK("https://klasma.github.io/Logging_2481/tillsynsmail/A 41223-2024 tillsynsbegäran mail.docx", "A 41223-2024")</f>
        <v/>
      </c>
    </row>
    <row r="1048" ht="15" customHeight="1">
      <c r="A1048" t="inlineStr">
        <is>
          <t>A 41077-2024</t>
        </is>
      </c>
      <c r="B1048" s="1" t="n">
        <v>45559</v>
      </c>
      <c r="C1048" s="1" t="n">
        <v>45792</v>
      </c>
      <c r="D1048" t="inlineStr">
        <is>
          <t>VÄSTERBOTTENS LÄN</t>
        </is>
      </c>
      <c r="E1048" t="inlineStr">
        <is>
          <t>UMEÅ</t>
        </is>
      </c>
      <c r="F1048" t="inlineStr">
        <is>
          <t>Sveaskog</t>
        </is>
      </c>
      <c r="G1048" t="n">
        <v>12.2</v>
      </c>
      <c r="H1048" t="n">
        <v>0</v>
      </c>
      <c r="I1048" t="n">
        <v>1</v>
      </c>
      <c r="J1048" t="n">
        <v>1</v>
      </c>
      <c r="K1048" t="n">
        <v>0</v>
      </c>
      <c r="L1048" t="n">
        <v>0</v>
      </c>
      <c r="M1048" t="n">
        <v>0</v>
      </c>
      <c r="N1048" t="n">
        <v>0</v>
      </c>
      <c r="O1048" t="n">
        <v>1</v>
      </c>
      <c r="P1048" t="n">
        <v>0</v>
      </c>
      <c r="Q1048" t="n">
        <v>2</v>
      </c>
      <c r="R1048" s="2" t="inlineStr">
        <is>
          <t>Blå taggsvamp
Dropptaggsvamp</t>
        </is>
      </c>
      <c r="S1048">
        <f>HYPERLINK("https://klasma.github.io/Logging_2480/artfynd/A 41077-2024 artfynd.xlsx", "A 41077-2024")</f>
        <v/>
      </c>
      <c r="T1048">
        <f>HYPERLINK("https://klasma.github.io/Logging_2480/kartor/A 41077-2024 karta.png", "A 41077-2024")</f>
        <v/>
      </c>
      <c r="V1048">
        <f>HYPERLINK("https://klasma.github.io/Logging_2480/klagomål/A 41077-2024 FSC-klagomål.docx", "A 41077-2024")</f>
        <v/>
      </c>
      <c r="W1048">
        <f>HYPERLINK("https://klasma.github.io/Logging_2480/klagomålsmail/A 41077-2024 FSC-klagomål mail.docx", "A 41077-2024")</f>
        <v/>
      </c>
      <c r="X1048">
        <f>HYPERLINK("https://klasma.github.io/Logging_2480/tillsyn/A 41077-2024 tillsynsbegäran.docx", "A 41077-2024")</f>
        <v/>
      </c>
      <c r="Y1048">
        <f>HYPERLINK("https://klasma.github.io/Logging_2480/tillsynsmail/A 41077-2024 tillsynsbegäran mail.docx", "A 41077-2024")</f>
        <v/>
      </c>
    </row>
    <row r="1049" ht="15" customHeight="1">
      <c r="A1049" t="inlineStr">
        <is>
          <t>A 41471-2024</t>
        </is>
      </c>
      <c r="B1049" s="1" t="n">
        <v>45560</v>
      </c>
      <c r="C1049" s="1" t="n">
        <v>45792</v>
      </c>
      <c r="D1049" t="inlineStr">
        <is>
          <t>VÄSTERBOTTENS LÄN</t>
        </is>
      </c>
      <c r="E1049" t="inlineStr">
        <is>
          <t>LYCKSELE</t>
        </is>
      </c>
      <c r="F1049" t="inlineStr">
        <is>
          <t>Sveaskog</t>
        </is>
      </c>
      <c r="G1049" t="n">
        <v>24.5</v>
      </c>
      <c r="H1049" t="n">
        <v>0</v>
      </c>
      <c r="I1049" t="n">
        <v>0</v>
      </c>
      <c r="J1049" t="n">
        <v>2</v>
      </c>
      <c r="K1049" t="n">
        <v>0</v>
      </c>
      <c r="L1049" t="n">
        <v>0</v>
      </c>
      <c r="M1049" t="n">
        <v>0</v>
      </c>
      <c r="N1049" t="n">
        <v>0</v>
      </c>
      <c r="O1049" t="n">
        <v>2</v>
      </c>
      <c r="P1049" t="n">
        <v>0</v>
      </c>
      <c r="Q1049" t="n">
        <v>2</v>
      </c>
      <c r="R1049" s="2" t="inlineStr">
        <is>
          <t>Blå taggsvamp
Orange taggsvamp</t>
        </is>
      </c>
      <c r="S1049">
        <f>HYPERLINK("https://klasma.github.io/Logging_2481/artfynd/A 41471-2024 artfynd.xlsx", "A 41471-2024")</f>
        <v/>
      </c>
      <c r="T1049">
        <f>HYPERLINK("https://klasma.github.io/Logging_2481/kartor/A 41471-2024 karta.png", "A 41471-2024")</f>
        <v/>
      </c>
      <c r="V1049">
        <f>HYPERLINK("https://klasma.github.io/Logging_2481/klagomål/A 41471-2024 FSC-klagomål.docx", "A 41471-2024")</f>
        <v/>
      </c>
      <c r="W1049">
        <f>HYPERLINK("https://klasma.github.io/Logging_2481/klagomålsmail/A 41471-2024 FSC-klagomål mail.docx", "A 41471-2024")</f>
        <v/>
      </c>
      <c r="X1049">
        <f>HYPERLINK("https://klasma.github.io/Logging_2481/tillsyn/A 41471-2024 tillsynsbegäran.docx", "A 41471-2024")</f>
        <v/>
      </c>
      <c r="Y1049">
        <f>HYPERLINK("https://klasma.github.io/Logging_2481/tillsynsmail/A 41471-2024 tillsynsbegäran mail.docx", "A 41471-2024")</f>
        <v/>
      </c>
    </row>
    <row r="1050" ht="15" customHeight="1">
      <c r="A1050" t="inlineStr">
        <is>
          <t>A 41723-2024</t>
        </is>
      </c>
      <c r="B1050" s="1" t="n">
        <v>45560</v>
      </c>
      <c r="C1050" s="1" t="n">
        <v>45792</v>
      </c>
      <c r="D1050" t="inlineStr">
        <is>
          <t>VÄSTERBOTTENS LÄN</t>
        </is>
      </c>
      <c r="E1050" t="inlineStr">
        <is>
          <t>ROBERTSFORS</t>
        </is>
      </c>
      <c r="G1050" t="n">
        <v>2.4</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HYPERLINK("https://klasma.github.io/Logging_2409/artfynd/A 41723-2024 artfynd.xlsx", "A 41723-2024")</f>
        <v/>
      </c>
      <c r="T1050">
        <f>HYPERLINK("https://klasma.github.io/Logging_2409/kartor/A 41723-2024 karta.png", "A 41723-2024")</f>
        <v/>
      </c>
      <c r="V1050">
        <f>HYPERLINK("https://klasma.github.io/Logging_2409/klagomål/A 41723-2024 FSC-klagomål.docx", "A 41723-2024")</f>
        <v/>
      </c>
      <c r="W1050">
        <f>HYPERLINK("https://klasma.github.io/Logging_2409/klagomålsmail/A 41723-2024 FSC-klagomål mail.docx", "A 41723-2024")</f>
        <v/>
      </c>
      <c r="X1050">
        <f>HYPERLINK("https://klasma.github.io/Logging_2409/tillsyn/A 41723-2024 tillsynsbegäran.docx", "A 41723-2024")</f>
        <v/>
      </c>
      <c r="Y1050">
        <f>HYPERLINK("https://klasma.github.io/Logging_2409/tillsynsmail/A 41723-2024 tillsynsbegäran mail.docx", "A 41723-2024")</f>
        <v/>
      </c>
      <c r="Z1050">
        <f>HYPERLINK("https://klasma.github.io/Logging_2409/fåglar/A 41723-2024 prioriterade fågelarter.docx", "A 41723-2024")</f>
        <v/>
      </c>
    </row>
    <row r="1051" ht="15" customHeight="1">
      <c r="A1051" t="inlineStr">
        <is>
          <t>A 41645-2024</t>
        </is>
      </c>
      <c r="B1051" s="1" t="n">
        <v>45560</v>
      </c>
      <c r="C1051" s="1" t="n">
        <v>45792</v>
      </c>
      <c r="D1051" t="inlineStr">
        <is>
          <t>VÄSTERBOTTENS LÄN</t>
        </is>
      </c>
      <c r="E1051" t="inlineStr">
        <is>
          <t>VILHELMINA</t>
        </is>
      </c>
      <c r="F1051" t="inlineStr">
        <is>
          <t>SCA</t>
        </is>
      </c>
      <c r="G1051" t="n">
        <v>10.4</v>
      </c>
      <c r="H1051" t="n">
        <v>1</v>
      </c>
      <c r="I1051" t="n">
        <v>1</v>
      </c>
      <c r="J1051" t="n">
        <v>1</v>
      </c>
      <c r="K1051" t="n">
        <v>0</v>
      </c>
      <c r="L1051" t="n">
        <v>0</v>
      </c>
      <c r="M1051" t="n">
        <v>0</v>
      </c>
      <c r="N1051" t="n">
        <v>0</v>
      </c>
      <c r="O1051" t="n">
        <v>1</v>
      </c>
      <c r="P1051" t="n">
        <v>0</v>
      </c>
      <c r="Q1051" t="n">
        <v>2</v>
      </c>
      <c r="R1051" s="2" t="inlineStr">
        <is>
          <t>Gammelgransskål
Lappranunkel</t>
        </is>
      </c>
      <c r="S1051">
        <f>HYPERLINK("https://klasma.github.io/Logging_2462/artfynd/A 41645-2024 artfynd.xlsx", "A 41645-2024")</f>
        <v/>
      </c>
      <c r="T1051">
        <f>HYPERLINK("https://klasma.github.io/Logging_2462/kartor/A 41645-2024 karta.png", "A 41645-2024")</f>
        <v/>
      </c>
      <c r="V1051">
        <f>HYPERLINK("https://klasma.github.io/Logging_2462/klagomål/A 41645-2024 FSC-klagomål.docx", "A 41645-2024")</f>
        <v/>
      </c>
      <c r="W1051">
        <f>HYPERLINK("https://klasma.github.io/Logging_2462/klagomålsmail/A 41645-2024 FSC-klagomål mail.docx", "A 41645-2024")</f>
        <v/>
      </c>
      <c r="X1051">
        <f>HYPERLINK("https://klasma.github.io/Logging_2462/tillsyn/A 41645-2024 tillsynsbegäran.docx", "A 41645-2024")</f>
        <v/>
      </c>
      <c r="Y1051">
        <f>HYPERLINK("https://klasma.github.io/Logging_2462/tillsynsmail/A 41645-2024 tillsynsbegäran mail.docx", "A 41645-2024")</f>
        <v/>
      </c>
    </row>
    <row r="1052" ht="15" customHeight="1">
      <c r="A1052" t="inlineStr">
        <is>
          <t>A 43154-2024</t>
        </is>
      </c>
      <c r="B1052" s="1" t="n">
        <v>45567</v>
      </c>
      <c r="C1052" s="1" t="n">
        <v>45792</v>
      </c>
      <c r="D1052" t="inlineStr">
        <is>
          <t>VÄSTERBOTTENS LÄN</t>
        </is>
      </c>
      <c r="E1052" t="inlineStr">
        <is>
          <t>LYCKSELE</t>
        </is>
      </c>
      <c r="F1052" t="inlineStr">
        <is>
          <t>Sveaskog</t>
        </is>
      </c>
      <c r="G1052" t="n">
        <v>8.199999999999999</v>
      </c>
      <c r="H1052" t="n">
        <v>0</v>
      </c>
      <c r="I1052" t="n">
        <v>1</v>
      </c>
      <c r="J1052" t="n">
        <v>1</v>
      </c>
      <c r="K1052" t="n">
        <v>0</v>
      </c>
      <c r="L1052" t="n">
        <v>0</v>
      </c>
      <c r="M1052" t="n">
        <v>0</v>
      </c>
      <c r="N1052" t="n">
        <v>0</v>
      </c>
      <c r="O1052" t="n">
        <v>1</v>
      </c>
      <c r="P1052" t="n">
        <v>0</v>
      </c>
      <c r="Q1052" t="n">
        <v>2</v>
      </c>
      <c r="R1052" s="2" t="inlineStr">
        <is>
          <t>Blanksvart spiklav
Dropptaggsvamp</t>
        </is>
      </c>
      <c r="S1052">
        <f>HYPERLINK("https://klasma.github.io/Logging_2481/artfynd/A 43154-2024 artfynd.xlsx", "A 43154-2024")</f>
        <v/>
      </c>
      <c r="T1052">
        <f>HYPERLINK("https://klasma.github.io/Logging_2481/kartor/A 43154-2024 karta.png", "A 43154-2024")</f>
        <v/>
      </c>
      <c r="V1052">
        <f>HYPERLINK("https://klasma.github.io/Logging_2481/klagomål/A 43154-2024 FSC-klagomål.docx", "A 43154-2024")</f>
        <v/>
      </c>
      <c r="W1052">
        <f>HYPERLINK("https://klasma.github.io/Logging_2481/klagomålsmail/A 43154-2024 FSC-klagomål mail.docx", "A 43154-2024")</f>
        <v/>
      </c>
      <c r="X1052">
        <f>HYPERLINK("https://klasma.github.io/Logging_2481/tillsyn/A 43154-2024 tillsynsbegäran.docx", "A 43154-2024")</f>
        <v/>
      </c>
      <c r="Y1052">
        <f>HYPERLINK("https://klasma.github.io/Logging_2481/tillsynsmail/A 43154-2024 tillsynsbegäran mail.docx", "A 43154-2024")</f>
        <v/>
      </c>
    </row>
    <row r="1053" ht="15" customHeight="1">
      <c r="A1053" t="inlineStr">
        <is>
          <t>A 43743-2024</t>
        </is>
      </c>
      <c r="B1053" s="1" t="n">
        <v>45569</v>
      </c>
      <c r="C1053" s="1" t="n">
        <v>45792</v>
      </c>
      <c r="D1053" t="inlineStr">
        <is>
          <t>VÄSTERBOTTENS LÄN</t>
        </is>
      </c>
      <c r="E1053" t="inlineStr">
        <is>
          <t>SKELLEFTEÅ</t>
        </is>
      </c>
      <c r="G1053" t="n">
        <v>2.6</v>
      </c>
      <c r="H1053" t="n">
        <v>1</v>
      </c>
      <c r="I1053" t="n">
        <v>1</v>
      </c>
      <c r="J1053" t="n">
        <v>0</v>
      </c>
      <c r="K1053" t="n">
        <v>0</v>
      </c>
      <c r="L1053" t="n">
        <v>0</v>
      </c>
      <c r="M1053" t="n">
        <v>0</v>
      </c>
      <c r="N1053" t="n">
        <v>0</v>
      </c>
      <c r="O1053" t="n">
        <v>0</v>
      </c>
      <c r="P1053" t="n">
        <v>0</v>
      </c>
      <c r="Q1053" t="n">
        <v>2</v>
      </c>
      <c r="R1053" s="2" t="inlineStr">
        <is>
          <t>Stuplav
Fläcknycklar</t>
        </is>
      </c>
      <c r="S1053">
        <f>HYPERLINK("https://klasma.github.io/Logging_2482/artfynd/A 43743-2024 artfynd.xlsx", "A 43743-2024")</f>
        <v/>
      </c>
      <c r="T1053">
        <f>HYPERLINK("https://klasma.github.io/Logging_2482/kartor/A 43743-2024 karta.png", "A 43743-2024")</f>
        <v/>
      </c>
      <c r="V1053">
        <f>HYPERLINK("https://klasma.github.io/Logging_2482/klagomål/A 43743-2024 FSC-klagomål.docx", "A 43743-2024")</f>
        <v/>
      </c>
      <c r="W1053">
        <f>HYPERLINK("https://klasma.github.io/Logging_2482/klagomålsmail/A 43743-2024 FSC-klagomål mail.docx", "A 43743-2024")</f>
        <v/>
      </c>
      <c r="X1053">
        <f>HYPERLINK("https://klasma.github.io/Logging_2482/tillsyn/A 43743-2024 tillsynsbegäran.docx", "A 43743-2024")</f>
        <v/>
      </c>
      <c r="Y1053">
        <f>HYPERLINK("https://klasma.github.io/Logging_2482/tillsynsmail/A 43743-2024 tillsynsbegäran mail.docx", "A 43743-2024")</f>
        <v/>
      </c>
    </row>
    <row r="1054" ht="15" customHeight="1">
      <c r="A1054" t="inlineStr">
        <is>
          <t>A 43905-2024</t>
        </is>
      </c>
      <c r="B1054" s="1" t="n">
        <v>45572</v>
      </c>
      <c r="C1054" s="1" t="n">
        <v>45792</v>
      </c>
      <c r="D1054" t="inlineStr">
        <is>
          <t>VÄSTERBOTTENS LÄN</t>
        </is>
      </c>
      <c r="E1054" t="inlineStr">
        <is>
          <t>LYCKSELE</t>
        </is>
      </c>
      <c r="F1054" t="inlineStr">
        <is>
          <t>Sveaskog</t>
        </is>
      </c>
      <c r="G1054" t="n">
        <v>9.199999999999999</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HYPERLINK("https://klasma.github.io/Logging_2481/artfynd/A 43905-2024 artfynd.xlsx", "A 43905-2024")</f>
        <v/>
      </c>
      <c r="T1054">
        <f>HYPERLINK("https://klasma.github.io/Logging_2481/kartor/A 43905-2024 karta.png", "A 43905-2024")</f>
        <v/>
      </c>
      <c r="V1054">
        <f>HYPERLINK("https://klasma.github.io/Logging_2481/klagomål/A 43905-2024 FSC-klagomål.docx", "A 43905-2024")</f>
        <v/>
      </c>
      <c r="W1054">
        <f>HYPERLINK("https://klasma.github.io/Logging_2481/klagomålsmail/A 43905-2024 FSC-klagomål mail.docx", "A 43905-2024")</f>
        <v/>
      </c>
      <c r="X1054">
        <f>HYPERLINK("https://klasma.github.io/Logging_2481/tillsyn/A 43905-2024 tillsynsbegäran.docx", "A 43905-2024")</f>
        <v/>
      </c>
      <c r="Y1054">
        <f>HYPERLINK("https://klasma.github.io/Logging_2481/tillsynsmail/A 43905-2024 tillsynsbegäran mail.docx", "A 43905-2024")</f>
        <v/>
      </c>
    </row>
    <row r="1055" ht="15" customHeight="1">
      <c r="A1055" t="inlineStr">
        <is>
          <t>A 44230-2024</t>
        </is>
      </c>
      <c r="B1055" s="1" t="n">
        <v>45573</v>
      </c>
      <c r="C1055" s="1" t="n">
        <v>45792</v>
      </c>
      <c r="D1055" t="inlineStr">
        <is>
          <t>VÄSTERBOTTENS LÄN</t>
        </is>
      </c>
      <c r="E1055" t="inlineStr">
        <is>
          <t>LYCKSELE</t>
        </is>
      </c>
      <c r="F1055" t="inlineStr">
        <is>
          <t>Sveaskog</t>
        </is>
      </c>
      <c r="G1055" t="n">
        <v>19.8</v>
      </c>
      <c r="H1055" t="n">
        <v>0</v>
      </c>
      <c r="I1055" t="n">
        <v>0</v>
      </c>
      <c r="J1055" t="n">
        <v>2</v>
      </c>
      <c r="K1055" t="n">
        <v>0</v>
      </c>
      <c r="L1055" t="n">
        <v>0</v>
      </c>
      <c r="M1055" t="n">
        <v>0</v>
      </c>
      <c r="N1055" t="n">
        <v>0</v>
      </c>
      <c r="O1055" t="n">
        <v>2</v>
      </c>
      <c r="P1055" t="n">
        <v>0</v>
      </c>
      <c r="Q1055" t="n">
        <v>2</v>
      </c>
      <c r="R1055" s="2" t="inlineStr">
        <is>
          <t>Kolflarnlav
Mörk kolflarnlav</t>
        </is>
      </c>
      <c r="S1055">
        <f>HYPERLINK("https://klasma.github.io/Logging_2481/artfynd/A 44230-2024 artfynd.xlsx", "A 44230-2024")</f>
        <v/>
      </c>
      <c r="T1055">
        <f>HYPERLINK("https://klasma.github.io/Logging_2481/kartor/A 44230-2024 karta.png", "A 44230-2024")</f>
        <v/>
      </c>
      <c r="V1055">
        <f>HYPERLINK("https://klasma.github.io/Logging_2481/klagomål/A 44230-2024 FSC-klagomål.docx", "A 44230-2024")</f>
        <v/>
      </c>
      <c r="W1055">
        <f>HYPERLINK("https://klasma.github.io/Logging_2481/klagomålsmail/A 44230-2024 FSC-klagomål mail.docx", "A 44230-2024")</f>
        <v/>
      </c>
      <c r="X1055">
        <f>HYPERLINK("https://klasma.github.io/Logging_2481/tillsyn/A 44230-2024 tillsynsbegäran.docx", "A 44230-2024")</f>
        <v/>
      </c>
      <c r="Y1055">
        <f>HYPERLINK("https://klasma.github.io/Logging_2481/tillsynsmail/A 44230-2024 tillsynsbegäran mail.docx", "A 44230-2024")</f>
        <v/>
      </c>
    </row>
    <row r="1056" ht="15" customHeight="1">
      <c r="A1056" t="inlineStr">
        <is>
          <t>A 45935-2024</t>
        </is>
      </c>
      <c r="B1056" s="1" t="n">
        <v>45580</v>
      </c>
      <c r="C1056" s="1" t="n">
        <v>45792</v>
      </c>
      <c r="D1056" t="inlineStr">
        <is>
          <t>VÄSTERBOTTENS LÄN</t>
        </is>
      </c>
      <c r="E1056" t="inlineStr">
        <is>
          <t>LYCKSELE</t>
        </is>
      </c>
      <c r="F1056" t="inlineStr">
        <is>
          <t>Sveaskog</t>
        </is>
      </c>
      <c r="G1056" t="n">
        <v>2.4</v>
      </c>
      <c r="H1056" t="n">
        <v>0</v>
      </c>
      <c r="I1056" t="n">
        <v>0</v>
      </c>
      <c r="J1056" t="n">
        <v>2</v>
      </c>
      <c r="K1056" t="n">
        <v>0</v>
      </c>
      <c r="L1056" t="n">
        <v>0</v>
      </c>
      <c r="M1056" t="n">
        <v>0</v>
      </c>
      <c r="N1056" t="n">
        <v>0</v>
      </c>
      <c r="O1056" t="n">
        <v>2</v>
      </c>
      <c r="P1056" t="n">
        <v>0</v>
      </c>
      <c r="Q1056" t="n">
        <v>2</v>
      </c>
      <c r="R1056" s="2" t="inlineStr">
        <is>
          <t>Lunglav
Orange taggsvamp</t>
        </is>
      </c>
      <c r="S1056">
        <f>HYPERLINK("https://klasma.github.io/Logging_2481/artfynd/A 45935-2024 artfynd.xlsx", "A 45935-2024")</f>
        <v/>
      </c>
      <c r="T1056">
        <f>HYPERLINK("https://klasma.github.io/Logging_2481/kartor/A 45935-2024 karta.png", "A 45935-2024")</f>
        <v/>
      </c>
      <c r="V1056">
        <f>HYPERLINK("https://klasma.github.io/Logging_2481/klagomål/A 45935-2024 FSC-klagomål.docx", "A 45935-2024")</f>
        <v/>
      </c>
      <c r="W1056">
        <f>HYPERLINK("https://klasma.github.io/Logging_2481/klagomålsmail/A 45935-2024 FSC-klagomål mail.docx", "A 45935-2024")</f>
        <v/>
      </c>
      <c r="X1056">
        <f>HYPERLINK("https://klasma.github.io/Logging_2481/tillsyn/A 45935-2024 tillsynsbegäran.docx", "A 45935-2024")</f>
        <v/>
      </c>
      <c r="Y1056">
        <f>HYPERLINK("https://klasma.github.io/Logging_2481/tillsynsmail/A 45935-2024 tillsynsbegäran mail.docx", "A 45935-2024")</f>
        <v/>
      </c>
    </row>
    <row r="1057" ht="15" customHeight="1">
      <c r="A1057" t="inlineStr">
        <is>
          <t>A 46143-2024</t>
        </is>
      </c>
      <c r="B1057" s="1" t="n">
        <v>45581</v>
      </c>
      <c r="C1057" s="1" t="n">
        <v>45792</v>
      </c>
      <c r="D1057" t="inlineStr">
        <is>
          <t>VÄSTERBOTTENS LÄN</t>
        </is>
      </c>
      <c r="E1057" t="inlineStr">
        <is>
          <t>UMEÅ</t>
        </is>
      </c>
      <c r="G1057" t="n">
        <v>2.7</v>
      </c>
      <c r="H1057" t="n">
        <v>1</v>
      </c>
      <c r="I1057" t="n">
        <v>1</v>
      </c>
      <c r="J1057" t="n">
        <v>1</v>
      </c>
      <c r="K1057" t="n">
        <v>0</v>
      </c>
      <c r="L1057" t="n">
        <v>0</v>
      </c>
      <c r="M1057" t="n">
        <v>0</v>
      </c>
      <c r="N1057" t="n">
        <v>0</v>
      </c>
      <c r="O1057" t="n">
        <v>1</v>
      </c>
      <c r="P1057" t="n">
        <v>0</v>
      </c>
      <c r="Q1057" t="n">
        <v>2</v>
      </c>
      <c r="R1057" s="2" t="inlineStr">
        <is>
          <t>Talltita
Thomsons trägnagare</t>
        </is>
      </c>
      <c r="S1057">
        <f>HYPERLINK("https://klasma.github.io/Logging_2480/artfynd/A 46143-2024 artfynd.xlsx", "A 46143-2024")</f>
        <v/>
      </c>
      <c r="T1057">
        <f>HYPERLINK("https://klasma.github.io/Logging_2480/kartor/A 46143-2024 karta.png", "A 46143-2024")</f>
        <v/>
      </c>
      <c r="V1057">
        <f>HYPERLINK("https://klasma.github.io/Logging_2480/klagomål/A 46143-2024 FSC-klagomål.docx", "A 46143-2024")</f>
        <v/>
      </c>
      <c r="W1057">
        <f>HYPERLINK("https://klasma.github.io/Logging_2480/klagomålsmail/A 46143-2024 FSC-klagomål mail.docx", "A 46143-2024")</f>
        <v/>
      </c>
      <c r="X1057">
        <f>HYPERLINK("https://klasma.github.io/Logging_2480/tillsyn/A 46143-2024 tillsynsbegäran.docx", "A 46143-2024")</f>
        <v/>
      </c>
      <c r="Y1057">
        <f>HYPERLINK("https://klasma.github.io/Logging_2480/tillsynsmail/A 46143-2024 tillsynsbegäran mail.docx", "A 46143-2024")</f>
        <v/>
      </c>
      <c r="Z1057">
        <f>HYPERLINK("https://klasma.github.io/Logging_2480/fåglar/A 46143-2024 prioriterade fågelarter.docx", "A 46143-2024")</f>
        <v/>
      </c>
    </row>
    <row r="1058" ht="15" customHeight="1">
      <c r="A1058" t="inlineStr">
        <is>
          <t>A 46391-2024</t>
        </is>
      </c>
      <c r="B1058" s="1" t="n">
        <v>45582</v>
      </c>
      <c r="C1058" s="1" t="n">
        <v>45792</v>
      </c>
      <c r="D1058" t="inlineStr">
        <is>
          <t>VÄSTERBOTTENS LÄN</t>
        </is>
      </c>
      <c r="E1058" t="inlineStr">
        <is>
          <t>VILHELMINA</t>
        </is>
      </c>
      <c r="F1058" t="inlineStr">
        <is>
          <t>SCA</t>
        </is>
      </c>
      <c r="G1058" t="n">
        <v>23.4</v>
      </c>
      <c r="H1058" t="n">
        <v>0</v>
      </c>
      <c r="I1058" t="n">
        <v>0</v>
      </c>
      <c r="J1058" t="n">
        <v>2</v>
      </c>
      <c r="K1058" t="n">
        <v>0</v>
      </c>
      <c r="L1058" t="n">
        <v>0</v>
      </c>
      <c r="M1058" t="n">
        <v>0</v>
      </c>
      <c r="N1058" t="n">
        <v>0</v>
      </c>
      <c r="O1058" t="n">
        <v>2</v>
      </c>
      <c r="P1058" t="n">
        <v>0</v>
      </c>
      <c r="Q1058" t="n">
        <v>2</v>
      </c>
      <c r="R1058" s="2" t="inlineStr">
        <is>
          <t>Granticka
Gränsticka</t>
        </is>
      </c>
      <c r="S1058">
        <f>HYPERLINK("https://klasma.github.io/Logging_2462/artfynd/A 46391-2024 artfynd.xlsx", "A 46391-2024")</f>
        <v/>
      </c>
      <c r="T1058">
        <f>HYPERLINK("https://klasma.github.io/Logging_2462/kartor/A 46391-2024 karta.png", "A 46391-2024")</f>
        <v/>
      </c>
      <c r="V1058">
        <f>HYPERLINK("https://klasma.github.io/Logging_2462/klagomål/A 46391-2024 FSC-klagomål.docx", "A 46391-2024")</f>
        <v/>
      </c>
      <c r="W1058">
        <f>HYPERLINK("https://klasma.github.io/Logging_2462/klagomålsmail/A 46391-2024 FSC-klagomål mail.docx", "A 46391-2024")</f>
        <v/>
      </c>
      <c r="X1058">
        <f>HYPERLINK("https://klasma.github.io/Logging_2462/tillsyn/A 46391-2024 tillsynsbegäran.docx", "A 46391-2024")</f>
        <v/>
      </c>
      <c r="Y1058">
        <f>HYPERLINK("https://klasma.github.io/Logging_2462/tillsynsmail/A 46391-2024 tillsynsbegäran mail.docx", "A 46391-2024")</f>
        <v/>
      </c>
    </row>
    <row r="1059" ht="15" customHeight="1">
      <c r="A1059" t="inlineStr">
        <is>
          <t>A 46355-2024</t>
        </is>
      </c>
      <c r="B1059" s="1" t="n">
        <v>45582</v>
      </c>
      <c r="C1059" s="1" t="n">
        <v>45792</v>
      </c>
      <c r="D1059" t="inlineStr">
        <is>
          <t>VÄSTERBOTTENS LÄN</t>
        </is>
      </c>
      <c r="E1059" t="inlineStr">
        <is>
          <t>DOROTEA</t>
        </is>
      </c>
      <c r="F1059" t="inlineStr">
        <is>
          <t>SCA</t>
        </is>
      </c>
      <c r="G1059" t="n">
        <v>21.7</v>
      </c>
      <c r="H1059" t="n">
        <v>1</v>
      </c>
      <c r="I1059" t="n">
        <v>1</v>
      </c>
      <c r="J1059" t="n">
        <v>1</v>
      </c>
      <c r="K1059" t="n">
        <v>0</v>
      </c>
      <c r="L1059" t="n">
        <v>0</v>
      </c>
      <c r="M1059" t="n">
        <v>0</v>
      </c>
      <c r="N1059" t="n">
        <v>0</v>
      </c>
      <c r="O1059" t="n">
        <v>1</v>
      </c>
      <c r="P1059" t="n">
        <v>0</v>
      </c>
      <c r="Q1059" t="n">
        <v>2</v>
      </c>
      <c r="R1059" s="2" t="inlineStr">
        <is>
          <t>Doftskinn
Lappranunkel</t>
        </is>
      </c>
      <c r="S1059">
        <f>HYPERLINK("https://klasma.github.io/Logging_2425/artfynd/A 46355-2024 artfynd.xlsx", "A 46355-2024")</f>
        <v/>
      </c>
      <c r="T1059">
        <f>HYPERLINK("https://klasma.github.io/Logging_2425/kartor/A 46355-2024 karta.png", "A 46355-2024")</f>
        <v/>
      </c>
      <c r="V1059">
        <f>HYPERLINK("https://klasma.github.io/Logging_2425/klagomål/A 46355-2024 FSC-klagomål.docx", "A 46355-2024")</f>
        <v/>
      </c>
      <c r="W1059">
        <f>HYPERLINK("https://klasma.github.io/Logging_2425/klagomålsmail/A 46355-2024 FSC-klagomål mail.docx", "A 46355-2024")</f>
        <v/>
      </c>
      <c r="X1059">
        <f>HYPERLINK("https://klasma.github.io/Logging_2425/tillsyn/A 46355-2024 tillsynsbegäran.docx", "A 46355-2024")</f>
        <v/>
      </c>
      <c r="Y1059">
        <f>HYPERLINK("https://klasma.github.io/Logging_2425/tillsynsmail/A 46355-2024 tillsynsbegäran mail.docx", "A 46355-2024")</f>
        <v/>
      </c>
    </row>
    <row r="1060" ht="15" customHeight="1">
      <c r="A1060" t="inlineStr">
        <is>
          <t>A 46832-2024</t>
        </is>
      </c>
      <c r="B1060" s="1" t="n">
        <v>45583</v>
      </c>
      <c r="C1060" s="1" t="n">
        <v>45792</v>
      </c>
      <c r="D1060" t="inlineStr">
        <is>
          <t>VÄSTERBOTTENS LÄN</t>
        </is>
      </c>
      <c r="E1060" t="inlineStr">
        <is>
          <t>DOROTEA</t>
        </is>
      </c>
      <c r="F1060" t="inlineStr">
        <is>
          <t>SCA</t>
        </is>
      </c>
      <c r="G1060" t="n">
        <v>11.8</v>
      </c>
      <c r="H1060" t="n">
        <v>0</v>
      </c>
      <c r="I1060" t="n">
        <v>0</v>
      </c>
      <c r="J1060" t="n">
        <v>2</v>
      </c>
      <c r="K1060" t="n">
        <v>0</v>
      </c>
      <c r="L1060" t="n">
        <v>0</v>
      </c>
      <c r="M1060" t="n">
        <v>0</v>
      </c>
      <c r="N1060" t="n">
        <v>0</v>
      </c>
      <c r="O1060" t="n">
        <v>2</v>
      </c>
      <c r="P1060" t="n">
        <v>0</v>
      </c>
      <c r="Q1060" t="n">
        <v>2</v>
      </c>
      <c r="R1060" s="2" t="inlineStr">
        <is>
          <t>Garnlav
Granticka</t>
        </is>
      </c>
      <c r="S1060">
        <f>HYPERLINK("https://klasma.github.io/Logging_2425/artfynd/A 46832-2024 artfynd.xlsx", "A 46832-2024")</f>
        <v/>
      </c>
      <c r="T1060">
        <f>HYPERLINK("https://klasma.github.io/Logging_2425/kartor/A 46832-2024 karta.png", "A 46832-2024")</f>
        <v/>
      </c>
      <c r="V1060">
        <f>HYPERLINK("https://klasma.github.io/Logging_2425/klagomål/A 46832-2024 FSC-klagomål.docx", "A 46832-2024")</f>
        <v/>
      </c>
      <c r="W1060">
        <f>HYPERLINK("https://klasma.github.io/Logging_2425/klagomålsmail/A 46832-2024 FSC-klagomål mail.docx", "A 46832-2024")</f>
        <v/>
      </c>
      <c r="X1060">
        <f>HYPERLINK("https://klasma.github.io/Logging_2425/tillsyn/A 46832-2024 tillsynsbegäran.docx", "A 46832-2024")</f>
        <v/>
      </c>
      <c r="Y1060">
        <f>HYPERLINK("https://klasma.github.io/Logging_2425/tillsynsmail/A 46832-2024 tillsynsbegäran mail.docx", "A 46832-2024")</f>
        <v/>
      </c>
    </row>
    <row r="1061" ht="15" customHeight="1">
      <c r="A1061" t="inlineStr">
        <is>
          <t>A 47126-2024</t>
        </is>
      </c>
      <c r="B1061" s="1" t="n">
        <v>45586</v>
      </c>
      <c r="C1061" s="1" t="n">
        <v>45792</v>
      </c>
      <c r="D1061" t="inlineStr">
        <is>
          <t>VÄSTERBOTTENS LÄN</t>
        </is>
      </c>
      <c r="E1061" t="inlineStr">
        <is>
          <t>LYCKSELE</t>
        </is>
      </c>
      <c r="F1061" t="inlineStr">
        <is>
          <t>Sveaskog</t>
        </is>
      </c>
      <c r="G1061" t="n">
        <v>16.2</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47126-2024 artfynd.xlsx", "A 47126-2024")</f>
        <v/>
      </c>
      <c r="T1061">
        <f>HYPERLINK("https://klasma.github.io/Logging_2481/kartor/A 47126-2024 karta.png", "A 47126-2024")</f>
        <v/>
      </c>
      <c r="V1061">
        <f>HYPERLINK("https://klasma.github.io/Logging_2481/klagomål/A 47126-2024 FSC-klagomål.docx", "A 47126-2024")</f>
        <v/>
      </c>
      <c r="W1061">
        <f>HYPERLINK("https://klasma.github.io/Logging_2481/klagomålsmail/A 47126-2024 FSC-klagomål mail.docx", "A 47126-2024")</f>
        <v/>
      </c>
      <c r="X1061">
        <f>HYPERLINK("https://klasma.github.io/Logging_2481/tillsyn/A 47126-2024 tillsynsbegäran.docx", "A 47126-2024")</f>
        <v/>
      </c>
      <c r="Y1061">
        <f>HYPERLINK("https://klasma.github.io/Logging_2481/tillsynsmail/A 47126-2024 tillsynsbegäran mail.docx", "A 47126-2024")</f>
        <v/>
      </c>
    </row>
    <row r="1062" ht="15" customHeight="1">
      <c r="A1062" t="inlineStr">
        <is>
          <t>A 48222-2024</t>
        </is>
      </c>
      <c r="B1062" s="1" t="n">
        <v>45590</v>
      </c>
      <c r="C1062" s="1" t="n">
        <v>45792</v>
      </c>
      <c r="D1062" t="inlineStr">
        <is>
          <t>VÄSTERBOTTENS LÄN</t>
        </is>
      </c>
      <c r="E1062" t="inlineStr">
        <is>
          <t>LYCKSELE</t>
        </is>
      </c>
      <c r="F1062" t="inlineStr">
        <is>
          <t>Sveaskog</t>
        </is>
      </c>
      <c r="G1062" t="n">
        <v>4.2</v>
      </c>
      <c r="H1062" t="n">
        <v>0</v>
      </c>
      <c r="I1062" t="n">
        <v>0</v>
      </c>
      <c r="J1062" t="n">
        <v>1</v>
      </c>
      <c r="K1062" t="n">
        <v>1</v>
      </c>
      <c r="L1062" t="n">
        <v>0</v>
      </c>
      <c r="M1062" t="n">
        <v>0</v>
      </c>
      <c r="N1062" t="n">
        <v>0</v>
      </c>
      <c r="O1062" t="n">
        <v>2</v>
      </c>
      <c r="P1062" t="n">
        <v>1</v>
      </c>
      <c r="Q1062" t="n">
        <v>2</v>
      </c>
      <c r="R1062" s="2" t="inlineStr">
        <is>
          <t>Gräddporing
Lunglav</t>
        </is>
      </c>
      <c r="S1062">
        <f>HYPERLINK("https://klasma.github.io/Logging_2481/artfynd/A 48222-2024 artfynd.xlsx", "A 48222-2024")</f>
        <v/>
      </c>
      <c r="T1062">
        <f>HYPERLINK("https://klasma.github.io/Logging_2481/kartor/A 48222-2024 karta.png", "A 48222-2024")</f>
        <v/>
      </c>
      <c r="V1062">
        <f>HYPERLINK("https://klasma.github.io/Logging_2481/klagomål/A 48222-2024 FSC-klagomål.docx", "A 48222-2024")</f>
        <v/>
      </c>
      <c r="W1062">
        <f>HYPERLINK("https://klasma.github.io/Logging_2481/klagomålsmail/A 48222-2024 FSC-klagomål mail.docx", "A 48222-2024")</f>
        <v/>
      </c>
      <c r="X1062">
        <f>HYPERLINK("https://klasma.github.io/Logging_2481/tillsyn/A 48222-2024 tillsynsbegäran.docx", "A 48222-2024")</f>
        <v/>
      </c>
      <c r="Y1062">
        <f>HYPERLINK("https://klasma.github.io/Logging_2481/tillsynsmail/A 48222-2024 tillsynsbegäran mail.docx", "A 48222-2024")</f>
        <v/>
      </c>
    </row>
    <row r="1063" ht="15" customHeight="1">
      <c r="A1063" t="inlineStr">
        <is>
          <t>A 49136-2024</t>
        </is>
      </c>
      <c r="B1063" s="1" t="n">
        <v>45594</v>
      </c>
      <c r="C1063" s="1" t="n">
        <v>45792</v>
      </c>
      <c r="D1063" t="inlineStr">
        <is>
          <t>VÄSTERBOTTENS LÄN</t>
        </is>
      </c>
      <c r="E1063" t="inlineStr">
        <is>
          <t>UMEÅ</t>
        </is>
      </c>
      <c r="G1063" t="n">
        <v>2.7</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HYPERLINK("https://klasma.github.io/Logging_2480/artfynd/A 49136-2024 artfynd.xlsx", "A 49136-2024")</f>
        <v/>
      </c>
      <c r="T1063">
        <f>HYPERLINK("https://klasma.github.io/Logging_2480/kartor/A 49136-2024 karta.png", "A 49136-2024")</f>
        <v/>
      </c>
      <c r="V1063">
        <f>HYPERLINK("https://klasma.github.io/Logging_2480/klagomål/A 49136-2024 FSC-klagomål.docx", "A 49136-2024")</f>
        <v/>
      </c>
      <c r="W1063">
        <f>HYPERLINK("https://klasma.github.io/Logging_2480/klagomålsmail/A 49136-2024 FSC-klagomål mail.docx", "A 49136-2024")</f>
        <v/>
      </c>
      <c r="X1063">
        <f>HYPERLINK("https://klasma.github.io/Logging_2480/tillsyn/A 49136-2024 tillsynsbegäran.docx", "A 49136-2024")</f>
        <v/>
      </c>
      <c r="Y1063">
        <f>HYPERLINK("https://klasma.github.io/Logging_2480/tillsynsmail/A 49136-2024 tillsynsbegäran mail.docx", "A 49136-2024")</f>
        <v/>
      </c>
    </row>
    <row r="1064" ht="15" customHeight="1">
      <c r="A1064" t="inlineStr">
        <is>
          <t>A 49250-2024</t>
        </is>
      </c>
      <c r="B1064" s="1" t="n">
        <v>45595</v>
      </c>
      <c r="C1064" s="1" t="n">
        <v>45792</v>
      </c>
      <c r="D1064" t="inlineStr">
        <is>
          <t>VÄSTERBOTTENS LÄN</t>
        </is>
      </c>
      <c r="E1064" t="inlineStr">
        <is>
          <t>SORSELE</t>
        </is>
      </c>
      <c r="F1064" t="inlineStr">
        <is>
          <t>Sveaskog</t>
        </is>
      </c>
      <c r="G1064" t="n">
        <v>20</v>
      </c>
      <c r="H1064" t="n">
        <v>0</v>
      </c>
      <c r="I1064" t="n">
        <v>0</v>
      </c>
      <c r="J1064" t="n">
        <v>2</v>
      </c>
      <c r="K1064" t="n">
        <v>0</v>
      </c>
      <c r="L1064" t="n">
        <v>0</v>
      </c>
      <c r="M1064" t="n">
        <v>0</v>
      </c>
      <c r="N1064" t="n">
        <v>0</v>
      </c>
      <c r="O1064" t="n">
        <v>2</v>
      </c>
      <c r="P1064" t="n">
        <v>0</v>
      </c>
      <c r="Q1064" t="n">
        <v>2</v>
      </c>
      <c r="R1064" s="2" t="inlineStr">
        <is>
          <t>Motaggsvamp
Orange taggsvamp</t>
        </is>
      </c>
      <c r="S1064">
        <f>HYPERLINK("https://klasma.github.io/Logging_2422/artfynd/A 49250-2024 artfynd.xlsx", "A 49250-2024")</f>
        <v/>
      </c>
      <c r="T1064">
        <f>HYPERLINK("https://klasma.github.io/Logging_2422/kartor/A 49250-2024 karta.png", "A 49250-2024")</f>
        <v/>
      </c>
      <c r="V1064">
        <f>HYPERLINK("https://klasma.github.io/Logging_2422/klagomål/A 49250-2024 FSC-klagomål.docx", "A 49250-2024")</f>
        <v/>
      </c>
      <c r="W1064">
        <f>HYPERLINK("https://klasma.github.io/Logging_2422/klagomålsmail/A 49250-2024 FSC-klagomål mail.docx", "A 49250-2024")</f>
        <v/>
      </c>
      <c r="X1064">
        <f>HYPERLINK("https://klasma.github.io/Logging_2422/tillsyn/A 49250-2024 tillsynsbegäran.docx", "A 49250-2024")</f>
        <v/>
      </c>
      <c r="Y1064">
        <f>HYPERLINK("https://klasma.github.io/Logging_2422/tillsynsmail/A 49250-2024 tillsynsbegäran mail.docx", "A 49250-2024")</f>
        <v/>
      </c>
    </row>
    <row r="1065" ht="15" customHeight="1">
      <c r="A1065" t="inlineStr">
        <is>
          <t>A 50687-2024</t>
        </is>
      </c>
      <c r="B1065" s="1" t="n">
        <v>45602</v>
      </c>
      <c r="C1065" s="1" t="n">
        <v>45792</v>
      </c>
      <c r="D1065" t="inlineStr">
        <is>
          <t>VÄSTERBOTTENS LÄN</t>
        </is>
      </c>
      <c r="E1065" t="inlineStr">
        <is>
          <t>LYCKSELE</t>
        </is>
      </c>
      <c r="F1065" t="inlineStr">
        <is>
          <t>Sveaskog</t>
        </is>
      </c>
      <c r="G1065" t="n">
        <v>17.4</v>
      </c>
      <c r="H1065" t="n">
        <v>0</v>
      </c>
      <c r="I1065" t="n">
        <v>1</v>
      </c>
      <c r="J1065" t="n">
        <v>1</v>
      </c>
      <c r="K1065" t="n">
        <v>0</v>
      </c>
      <c r="L1065" t="n">
        <v>0</v>
      </c>
      <c r="M1065" t="n">
        <v>0</v>
      </c>
      <c r="N1065" t="n">
        <v>0</v>
      </c>
      <c r="O1065" t="n">
        <v>1</v>
      </c>
      <c r="P1065" t="n">
        <v>0</v>
      </c>
      <c r="Q1065" t="n">
        <v>2</v>
      </c>
      <c r="R1065" s="2" t="inlineStr">
        <is>
          <t>Motaggsvamp
Dropptaggsvamp</t>
        </is>
      </c>
      <c r="S1065">
        <f>HYPERLINK("https://klasma.github.io/Logging_2481/artfynd/A 50687-2024 artfynd.xlsx", "A 50687-2024")</f>
        <v/>
      </c>
      <c r="T1065">
        <f>HYPERLINK("https://klasma.github.io/Logging_2481/kartor/A 50687-2024 karta.png", "A 50687-2024")</f>
        <v/>
      </c>
      <c r="V1065">
        <f>HYPERLINK("https://klasma.github.io/Logging_2481/klagomål/A 50687-2024 FSC-klagomål.docx", "A 50687-2024")</f>
        <v/>
      </c>
      <c r="W1065">
        <f>HYPERLINK("https://klasma.github.io/Logging_2481/klagomålsmail/A 50687-2024 FSC-klagomål mail.docx", "A 50687-2024")</f>
        <v/>
      </c>
      <c r="X1065">
        <f>HYPERLINK("https://klasma.github.io/Logging_2481/tillsyn/A 50687-2024 tillsynsbegäran.docx", "A 50687-2024")</f>
        <v/>
      </c>
      <c r="Y1065">
        <f>HYPERLINK("https://klasma.github.io/Logging_2481/tillsynsmail/A 50687-2024 tillsynsbegäran mail.docx", "A 50687-2024")</f>
        <v/>
      </c>
    </row>
    <row r="1066" ht="15" customHeight="1">
      <c r="A1066" t="inlineStr">
        <is>
          <t>A 50741-2024</t>
        </is>
      </c>
      <c r="B1066" s="1" t="n">
        <v>45602</v>
      </c>
      <c r="C1066" s="1" t="n">
        <v>45792</v>
      </c>
      <c r="D1066" t="inlineStr">
        <is>
          <t>VÄSTERBOTTENS LÄN</t>
        </is>
      </c>
      <c r="E1066" t="inlineStr">
        <is>
          <t>LYCKSELE</t>
        </is>
      </c>
      <c r="F1066" t="inlineStr">
        <is>
          <t>Sveaskog</t>
        </is>
      </c>
      <c r="G1066" t="n">
        <v>6.2</v>
      </c>
      <c r="H1066" t="n">
        <v>0</v>
      </c>
      <c r="I1066" t="n">
        <v>1</v>
      </c>
      <c r="J1066" t="n">
        <v>1</v>
      </c>
      <c r="K1066" t="n">
        <v>0</v>
      </c>
      <c r="L1066" t="n">
        <v>0</v>
      </c>
      <c r="M1066" t="n">
        <v>0</v>
      </c>
      <c r="N1066" t="n">
        <v>0</v>
      </c>
      <c r="O1066" t="n">
        <v>1</v>
      </c>
      <c r="P1066" t="n">
        <v>0</v>
      </c>
      <c r="Q1066" t="n">
        <v>2</v>
      </c>
      <c r="R1066" s="2" t="inlineStr">
        <is>
          <t>Mörk kolflarnlav
Skarp dropptaggsvamp</t>
        </is>
      </c>
      <c r="S1066">
        <f>HYPERLINK("https://klasma.github.io/Logging_2481/artfynd/A 50741-2024 artfynd.xlsx", "A 50741-2024")</f>
        <v/>
      </c>
      <c r="T1066">
        <f>HYPERLINK("https://klasma.github.io/Logging_2481/kartor/A 50741-2024 karta.png", "A 50741-2024")</f>
        <v/>
      </c>
      <c r="V1066">
        <f>HYPERLINK("https://klasma.github.io/Logging_2481/klagomål/A 50741-2024 FSC-klagomål.docx", "A 50741-2024")</f>
        <v/>
      </c>
      <c r="W1066">
        <f>HYPERLINK("https://klasma.github.io/Logging_2481/klagomålsmail/A 50741-2024 FSC-klagomål mail.docx", "A 50741-2024")</f>
        <v/>
      </c>
      <c r="X1066">
        <f>HYPERLINK("https://klasma.github.io/Logging_2481/tillsyn/A 50741-2024 tillsynsbegäran.docx", "A 50741-2024")</f>
        <v/>
      </c>
      <c r="Y1066">
        <f>HYPERLINK("https://klasma.github.io/Logging_2481/tillsynsmail/A 50741-2024 tillsynsbegäran mail.docx", "A 50741-2024")</f>
        <v/>
      </c>
    </row>
    <row r="1067" ht="15" customHeight="1">
      <c r="A1067" t="inlineStr">
        <is>
          <t>A 52234-2024</t>
        </is>
      </c>
      <c r="B1067" s="1" t="n">
        <v>45608</v>
      </c>
      <c r="C1067" s="1" t="n">
        <v>45792</v>
      </c>
      <c r="D1067" t="inlineStr">
        <is>
          <t>VÄSTERBOTTENS LÄN</t>
        </is>
      </c>
      <c r="E1067" t="inlineStr">
        <is>
          <t>LYCKSELE</t>
        </is>
      </c>
      <c r="F1067" t="inlineStr">
        <is>
          <t>Sveaskog</t>
        </is>
      </c>
      <c r="G1067" t="n">
        <v>2.7</v>
      </c>
      <c r="H1067" t="n">
        <v>1</v>
      </c>
      <c r="I1067" t="n">
        <v>1</v>
      </c>
      <c r="J1067" t="n">
        <v>0</v>
      </c>
      <c r="K1067" t="n">
        <v>0</v>
      </c>
      <c r="L1067" t="n">
        <v>0</v>
      </c>
      <c r="M1067" t="n">
        <v>0</v>
      </c>
      <c r="N1067" t="n">
        <v>0</v>
      </c>
      <c r="O1067" t="n">
        <v>0</v>
      </c>
      <c r="P1067" t="n">
        <v>0</v>
      </c>
      <c r="Q1067" t="n">
        <v>2</v>
      </c>
      <c r="R1067" s="2" t="inlineStr">
        <is>
          <t>Dropptaggsvamp
Lavskrika</t>
        </is>
      </c>
      <c r="S1067">
        <f>HYPERLINK("https://klasma.github.io/Logging_2481/artfynd/A 52234-2024 artfynd.xlsx", "A 52234-2024")</f>
        <v/>
      </c>
      <c r="T1067">
        <f>HYPERLINK("https://klasma.github.io/Logging_2481/kartor/A 52234-2024 karta.png", "A 52234-2024")</f>
        <v/>
      </c>
      <c r="V1067">
        <f>HYPERLINK("https://klasma.github.io/Logging_2481/klagomål/A 52234-2024 FSC-klagomål.docx", "A 52234-2024")</f>
        <v/>
      </c>
      <c r="W1067">
        <f>HYPERLINK("https://klasma.github.io/Logging_2481/klagomålsmail/A 52234-2024 FSC-klagomål mail.docx", "A 52234-2024")</f>
        <v/>
      </c>
      <c r="X1067">
        <f>HYPERLINK("https://klasma.github.io/Logging_2481/tillsyn/A 52234-2024 tillsynsbegäran.docx", "A 52234-2024")</f>
        <v/>
      </c>
      <c r="Y1067">
        <f>HYPERLINK("https://klasma.github.io/Logging_2481/tillsynsmail/A 52234-2024 tillsynsbegäran mail.docx", "A 52234-2024")</f>
        <v/>
      </c>
      <c r="Z1067">
        <f>HYPERLINK("https://klasma.github.io/Logging_2481/fåglar/A 52234-2024 prioriterade fågelarter.docx", "A 52234-2024")</f>
        <v/>
      </c>
    </row>
    <row r="1068" ht="15" customHeight="1">
      <c r="A1068" t="inlineStr">
        <is>
          <t>A 52416-2024</t>
        </is>
      </c>
      <c r="B1068" s="1" t="n">
        <v>45608</v>
      </c>
      <c r="C1068" s="1" t="n">
        <v>45792</v>
      </c>
      <c r="D1068" t="inlineStr">
        <is>
          <t>VÄSTERBOTTENS LÄN</t>
        </is>
      </c>
      <c r="E1068" t="inlineStr">
        <is>
          <t>SKELLEFTEÅ</t>
        </is>
      </c>
      <c r="G1068" t="n">
        <v>5.1</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HYPERLINK("https://klasma.github.io/Logging_2482/artfynd/A 52416-2024 artfynd.xlsx", "A 52416-2024")</f>
        <v/>
      </c>
      <c r="T1068">
        <f>HYPERLINK("https://klasma.github.io/Logging_2482/kartor/A 52416-2024 karta.png", "A 52416-2024")</f>
        <v/>
      </c>
      <c r="V1068">
        <f>HYPERLINK("https://klasma.github.io/Logging_2482/klagomål/A 52416-2024 FSC-klagomål.docx", "A 52416-2024")</f>
        <v/>
      </c>
      <c r="W1068">
        <f>HYPERLINK("https://klasma.github.io/Logging_2482/klagomålsmail/A 52416-2024 FSC-klagomål mail.docx", "A 52416-2024")</f>
        <v/>
      </c>
      <c r="X1068">
        <f>HYPERLINK("https://klasma.github.io/Logging_2482/tillsyn/A 52416-2024 tillsynsbegäran.docx", "A 52416-2024")</f>
        <v/>
      </c>
      <c r="Y1068">
        <f>HYPERLINK("https://klasma.github.io/Logging_2482/tillsynsmail/A 52416-2024 tillsynsbegäran mail.docx", "A 52416-2024")</f>
        <v/>
      </c>
    </row>
    <row r="1069" ht="15" customHeight="1">
      <c r="A1069" t="inlineStr">
        <is>
          <t>A 52525-2024</t>
        </is>
      </c>
      <c r="B1069" s="1" t="n">
        <v>45609</v>
      </c>
      <c r="C1069" s="1" t="n">
        <v>45792</v>
      </c>
      <c r="D1069" t="inlineStr">
        <is>
          <t>VÄSTERBOTTENS LÄN</t>
        </is>
      </c>
      <c r="E1069" t="inlineStr">
        <is>
          <t>SKELLEFTEÅ</t>
        </is>
      </c>
      <c r="G1069" t="n">
        <v>8.6</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HYPERLINK("https://klasma.github.io/Logging_2482/artfynd/A 52525-2024 artfynd.xlsx", "A 52525-2024")</f>
        <v/>
      </c>
      <c r="T1069">
        <f>HYPERLINK("https://klasma.github.io/Logging_2482/kartor/A 52525-2024 karta.png", "A 52525-2024")</f>
        <v/>
      </c>
      <c r="V1069">
        <f>HYPERLINK("https://klasma.github.io/Logging_2482/klagomål/A 52525-2024 FSC-klagomål.docx", "A 52525-2024")</f>
        <v/>
      </c>
      <c r="W1069">
        <f>HYPERLINK("https://klasma.github.io/Logging_2482/klagomålsmail/A 52525-2024 FSC-klagomål mail.docx", "A 52525-2024")</f>
        <v/>
      </c>
      <c r="X1069">
        <f>HYPERLINK("https://klasma.github.io/Logging_2482/tillsyn/A 52525-2024 tillsynsbegäran.docx", "A 52525-2024")</f>
        <v/>
      </c>
      <c r="Y1069">
        <f>HYPERLINK("https://klasma.github.io/Logging_2482/tillsynsmail/A 52525-2024 tillsynsbegäran mail.docx", "A 52525-2024")</f>
        <v/>
      </c>
    </row>
    <row r="1070" ht="15" customHeight="1">
      <c r="A1070" t="inlineStr">
        <is>
          <t>A 52622-2024</t>
        </is>
      </c>
      <c r="B1070" s="1" t="n">
        <v>45609</v>
      </c>
      <c r="C1070" s="1" t="n">
        <v>45792</v>
      </c>
      <c r="D1070" t="inlineStr">
        <is>
          <t>VÄSTERBOTTENS LÄN</t>
        </is>
      </c>
      <c r="E1070" t="inlineStr">
        <is>
          <t>SORSELE</t>
        </is>
      </c>
      <c r="G1070" t="n">
        <v>3.3</v>
      </c>
      <c r="H1070" t="n">
        <v>0</v>
      </c>
      <c r="I1070" t="n">
        <v>0</v>
      </c>
      <c r="J1070" t="n">
        <v>2</v>
      </c>
      <c r="K1070" t="n">
        <v>0</v>
      </c>
      <c r="L1070" t="n">
        <v>0</v>
      </c>
      <c r="M1070" t="n">
        <v>0</v>
      </c>
      <c r="N1070" t="n">
        <v>0</v>
      </c>
      <c r="O1070" t="n">
        <v>2</v>
      </c>
      <c r="P1070" t="n">
        <v>0</v>
      </c>
      <c r="Q1070" t="n">
        <v>2</v>
      </c>
      <c r="R1070" s="2" t="inlineStr">
        <is>
          <t>Gammelgransskål
Kolflarnlav</t>
        </is>
      </c>
      <c r="S1070">
        <f>HYPERLINK("https://klasma.github.io/Logging_2422/artfynd/A 52622-2024 artfynd.xlsx", "A 52622-2024")</f>
        <v/>
      </c>
      <c r="T1070">
        <f>HYPERLINK("https://klasma.github.io/Logging_2422/kartor/A 52622-2024 karta.png", "A 52622-2024")</f>
        <v/>
      </c>
      <c r="V1070">
        <f>HYPERLINK("https://klasma.github.io/Logging_2422/klagomål/A 52622-2024 FSC-klagomål.docx", "A 52622-2024")</f>
        <v/>
      </c>
      <c r="W1070">
        <f>HYPERLINK("https://klasma.github.io/Logging_2422/klagomålsmail/A 52622-2024 FSC-klagomål mail.docx", "A 52622-2024")</f>
        <v/>
      </c>
      <c r="X1070">
        <f>HYPERLINK("https://klasma.github.io/Logging_2422/tillsyn/A 52622-2024 tillsynsbegäran.docx", "A 52622-2024")</f>
        <v/>
      </c>
      <c r="Y1070">
        <f>HYPERLINK("https://klasma.github.io/Logging_2422/tillsynsmail/A 52622-2024 tillsynsbegäran mail.docx", "A 52622-2024")</f>
        <v/>
      </c>
    </row>
    <row r="1071" ht="15" customHeight="1">
      <c r="A1071" t="inlineStr">
        <is>
          <t>A 53422-2024</t>
        </is>
      </c>
      <c r="B1071" s="1" t="n">
        <v>45614</v>
      </c>
      <c r="C1071" s="1" t="n">
        <v>45792</v>
      </c>
      <c r="D1071" t="inlineStr">
        <is>
          <t>VÄSTERBOTTENS LÄN</t>
        </is>
      </c>
      <c r="E1071" t="inlineStr">
        <is>
          <t>SKELLEFTEÅ</t>
        </is>
      </c>
      <c r="G1071" t="n">
        <v>1.6</v>
      </c>
      <c r="H1071" t="n">
        <v>1</v>
      </c>
      <c r="I1071" t="n">
        <v>0</v>
      </c>
      <c r="J1071" t="n">
        <v>2</v>
      </c>
      <c r="K1071" t="n">
        <v>0</v>
      </c>
      <c r="L1071" t="n">
        <v>0</v>
      </c>
      <c r="M1071" t="n">
        <v>0</v>
      </c>
      <c r="N1071" t="n">
        <v>0</v>
      </c>
      <c r="O1071" t="n">
        <v>2</v>
      </c>
      <c r="P1071" t="n">
        <v>0</v>
      </c>
      <c r="Q1071" t="n">
        <v>2</v>
      </c>
      <c r="R1071" s="2" t="inlineStr">
        <is>
          <t>Järpe
Talltaggsvamp</t>
        </is>
      </c>
      <c r="S1071">
        <f>HYPERLINK("https://klasma.github.io/Logging_2482/artfynd/A 53422-2024 artfynd.xlsx", "A 53422-2024")</f>
        <v/>
      </c>
      <c r="T1071">
        <f>HYPERLINK("https://klasma.github.io/Logging_2482/kartor/A 53422-2024 karta.png", "A 53422-2024")</f>
        <v/>
      </c>
      <c r="V1071">
        <f>HYPERLINK("https://klasma.github.io/Logging_2482/klagomål/A 53422-2024 FSC-klagomål.docx", "A 53422-2024")</f>
        <v/>
      </c>
      <c r="W1071">
        <f>HYPERLINK("https://klasma.github.io/Logging_2482/klagomålsmail/A 53422-2024 FSC-klagomål mail.docx", "A 53422-2024")</f>
        <v/>
      </c>
      <c r="X1071">
        <f>HYPERLINK("https://klasma.github.io/Logging_2482/tillsyn/A 53422-2024 tillsynsbegäran.docx", "A 53422-2024")</f>
        <v/>
      </c>
      <c r="Y1071">
        <f>HYPERLINK("https://klasma.github.io/Logging_2482/tillsynsmail/A 53422-2024 tillsynsbegäran mail.docx", "A 53422-2024")</f>
        <v/>
      </c>
      <c r="Z1071">
        <f>HYPERLINK("https://klasma.github.io/Logging_2482/fåglar/A 53422-2024 prioriterade fågelarter.docx", "A 53422-2024")</f>
        <v/>
      </c>
    </row>
    <row r="1072" ht="15" customHeight="1">
      <c r="A1072" t="inlineStr">
        <is>
          <t>A 53271-2024</t>
        </is>
      </c>
      <c r="B1072" s="1" t="n">
        <v>45614</v>
      </c>
      <c r="C1072" s="1" t="n">
        <v>45792</v>
      </c>
      <c r="D1072" t="inlineStr">
        <is>
          <t>VÄSTERBOTTENS LÄN</t>
        </is>
      </c>
      <c r="E1072" t="inlineStr">
        <is>
          <t>SKELLEFTEÅ</t>
        </is>
      </c>
      <c r="F1072" t="inlineStr">
        <is>
          <t>Holmen skog AB</t>
        </is>
      </c>
      <c r="G1072" t="n">
        <v>11.1</v>
      </c>
      <c r="H1072" t="n">
        <v>0</v>
      </c>
      <c r="I1072" t="n">
        <v>1</v>
      </c>
      <c r="J1072" t="n">
        <v>1</v>
      </c>
      <c r="K1072" t="n">
        <v>0</v>
      </c>
      <c r="L1072" t="n">
        <v>0</v>
      </c>
      <c r="M1072" t="n">
        <v>0</v>
      </c>
      <c r="N1072" t="n">
        <v>0</v>
      </c>
      <c r="O1072" t="n">
        <v>1</v>
      </c>
      <c r="P1072" t="n">
        <v>0</v>
      </c>
      <c r="Q1072" t="n">
        <v>2</v>
      </c>
      <c r="R1072" s="2" t="inlineStr">
        <is>
          <t>Orange taggsvamp
Ögonpyrola</t>
        </is>
      </c>
      <c r="S1072">
        <f>HYPERLINK("https://klasma.github.io/Logging_2482/artfynd/A 53271-2024 artfynd.xlsx", "A 53271-2024")</f>
        <v/>
      </c>
      <c r="T1072">
        <f>HYPERLINK("https://klasma.github.io/Logging_2482/kartor/A 53271-2024 karta.png", "A 53271-2024")</f>
        <v/>
      </c>
      <c r="V1072">
        <f>HYPERLINK("https://klasma.github.io/Logging_2482/klagomål/A 53271-2024 FSC-klagomål.docx", "A 53271-2024")</f>
        <v/>
      </c>
      <c r="W1072">
        <f>HYPERLINK("https://klasma.github.io/Logging_2482/klagomålsmail/A 53271-2024 FSC-klagomål mail.docx", "A 53271-2024")</f>
        <v/>
      </c>
      <c r="X1072">
        <f>HYPERLINK("https://klasma.github.io/Logging_2482/tillsyn/A 53271-2024 tillsynsbegäran.docx", "A 53271-2024")</f>
        <v/>
      </c>
      <c r="Y1072">
        <f>HYPERLINK("https://klasma.github.io/Logging_2482/tillsynsmail/A 53271-2024 tillsynsbegäran mail.docx", "A 53271-2024")</f>
        <v/>
      </c>
    </row>
    <row r="1073" ht="15" customHeight="1">
      <c r="A1073" t="inlineStr">
        <is>
          <t>A 54284-2024</t>
        </is>
      </c>
      <c r="B1073" s="1" t="n">
        <v>45616</v>
      </c>
      <c r="C1073" s="1" t="n">
        <v>45792</v>
      </c>
      <c r="D1073" t="inlineStr">
        <is>
          <t>VÄSTERBOTTENS LÄN</t>
        </is>
      </c>
      <c r="E1073" t="inlineStr">
        <is>
          <t>DOROTEA</t>
        </is>
      </c>
      <c r="G1073" t="n">
        <v>16.1</v>
      </c>
      <c r="H1073" t="n">
        <v>0</v>
      </c>
      <c r="I1073" t="n">
        <v>2</v>
      </c>
      <c r="J1073" t="n">
        <v>0</v>
      </c>
      <c r="K1073" t="n">
        <v>0</v>
      </c>
      <c r="L1073" t="n">
        <v>0</v>
      </c>
      <c r="M1073" t="n">
        <v>0</v>
      </c>
      <c r="N1073" t="n">
        <v>0</v>
      </c>
      <c r="O1073" t="n">
        <v>0</v>
      </c>
      <c r="P1073" t="n">
        <v>0</v>
      </c>
      <c r="Q1073" t="n">
        <v>2</v>
      </c>
      <c r="R1073" s="2" t="inlineStr">
        <is>
          <t>Bårdlav
Stuplav</t>
        </is>
      </c>
      <c r="S1073">
        <f>HYPERLINK("https://klasma.github.io/Logging_2425/artfynd/A 54284-2024 artfynd.xlsx", "A 54284-2024")</f>
        <v/>
      </c>
      <c r="T1073">
        <f>HYPERLINK("https://klasma.github.io/Logging_2425/kartor/A 54284-2024 karta.png", "A 54284-2024")</f>
        <v/>
      </c>
      <c r="V1073">
        <f>HYPERLINK("https://klasma.github.io/Logging_2425/klagomål/A 54284-2024 FSC-klagomål.docx", "A 54284-2024")</f>
        <v/>
      </c>
      <c r="W1073">
        <f>HYPERLINK("https://klasma.github.io/Logging_2425/klagomålsmail/A 54284-2024 FSC-klagomål mail.docx", "A 54284-2024")</f>
        <v/>
      </c>
      <c r="X1073">
        <f>HYPERLINK("https://klasma.github.io/Logging_2425/tillsyn/A 54284-2024 tillsynsbegäran.docx", "A 54284-2024")</f>
        <v/>
      </c>
      <c r="Y1073">
        <f>HYPERLINK("https://klasma.github.io/Logging_2425/tillsynsmail/A 54284-2024 tillsynsbegäran mail.docx", "A 54284-2024")</f>
        <v/>
      </c>
    </row>
    <row r="1074" ht="15" customHeight="1">
      <c r="A1074" t="inlineStr">
        <is>
          <t>A 54363-2024</t>
        </is>
      </c>
      <c r="B1074" s="1" t="n">
        <v>45617</v>
      </c>
      <c r="C1074" s="1" t="n">
        <v>45792</v>
      </c>
      <c r="D1074" t="inlineStr">
        <is>
          <t>VÄSTERBOTTENS LÄN</t>
        </is>
      </c>
      <c r="E1074" t="inlineStr">
        <is>
          <t>VINDELN</t>
        </is>
      </c>
      <c r="F1074" t="inlineStr">
        <is>
          <t>Holmen skog AB</t>
        </is>
      </c>
      <c r="G1074" t="n">
        <v>5.2</v>
      </c>
      <c r="H1074" t="n">
        <v>0</v>
      </c>
      <c r="I1074" t="n">
        <v>2</v>
      </c>
      <c r="J1074" t="n">
        <v>0</v>
      </c>
      <c r="K1074" t="n">
        <v>0</v>
      </c>
      <c r="L1074" t="n">
        <v>0</v>
      </c>
      <c r="M1074" t="n">
        <v>0</v>
      </c>
      <c r="N1074" t="n">
        <v>0</v>
      </c>
      <c r="O1074" t="n">
        <v>0</v>
      </c>
      <c r="P1074" t="n">
        <v>0</v>
      </c>
      <c r="Q1074" t="n">
        <v>2</v>
      </c>
      <c r="R1074" s="2" t="inlineStr">
        <is>
          <t>Skinnlav
Vedticka</t>
        </is>
      </c>
      <c r="S1074">
        <f>HYPERLINK("https://klasma.github.io/Logging_2404/artfynd/A 54363-2024 artfynd.xlsx", "A 54363-2024")</f>
        <v/>
      </c>
      <c r="T1074">
        <f>HYPERLINK("https://klasma.github.io/Logging_2404/kartor/A 54363-2024 karta.png", "A 54363-2024")</f>
        <v/>
      </c>
      <c r="V1074">
        <f>HYPERLINK("https://klasma.github.io/Logging_2404/klagomål/A 54363-2024 FSC-klagomål.docx", "A 54363-2024")</f>
        <v/>
      </c>
      <c r="W1074">
        <f>HYPERLINK("https://klasma.github.io/Logging_2404/klagomålsmail/A 54363-2024 FSC-klagomål mail.docx", "A 54363-2024")</f>
        <v/>
      </c>
      <c r="X1074">
        <f>HYPERLINK("https://klasma.github.io/Logging_2404/tillsyn/A 54363-2024 tillsynsbegäran.docx", "A 54363-2024")</f>
        <v/>
      </c>
      <c r="Y1074">
        <f>HYPERLINK("https://klasma.github.io/Logging_2404/tillsynsmail/A 54363-2024 tillsynsbegäran mail.docx", "A 54363-2024")</f>
        <v/>
      </c>
    </row>
    <row r="1075" ht="15" customHeight="1">
      <c r="A1075" t="inlineStr">
        <is>
          <t>A 54779-2024</t>
        </is>
      </c>
      <c r="B1075" s="1" t="n">
        <v>45618</v>
      </c>
      <c r="C1075" s="1" t="n">
        <v>45792</v>
      </c>
      <c r="D1075" t="inlineStr">
        <is>
          <t>VÄSTERBOTTENS LÄN</t>
        </is>
      </c>
      <c r="E1075" t="inlineStr">
        <is>
          <t>VILHELMINA</t>
        </is>
      </c>
      <c r="F1075" t="inlineStr">
        <is>
          <t>SCA</t>
        </is>
      </c>
      <c r="G1075" t="n">
        <v>10.3</v>
      </c>
      <c r="H1075" t="n">
        <v>0</v>
      </c>
      <c r="I1075" t="n">
        <v>0</v>
      </c>
      <c r="J1075" t="n">
        <v>2</v>
      </c>
      <c r="K1075" t="n">
        <v>0</v>
      </c>
      <c r="L1075" t="n">
        <v>0</v>
      </c>
      <c r="M1075" t="n">
        <v>0</v>
      </c>
      <c r="N1075" t="n">
        <v>0</v>
      </c>
      <c r="O1075" t="n">
        <v>2</v>
      </c>
      <c r="P1075" t="n">
        <v>0</v>
      </c>
      <c r="Q1075" t="n">
        <v>2</v>
      </c>
      <c r="R1075" s="2" t="inlineStr">
        <is>
          <t>Gammelgransskål
Harticka</t>
        </is>
      </c>
      <c r="S1075">
        <f>HYPERLINK("https://klasma.github.io/Logging_2462/artfynd/A 54779-2024 artfynd.xlsx", "A 54779-2024")</f>
        <v/>
      </c>
      <c r="T1075">
        <f>HYPERLINK("https://klasma.github.io/Logging_2462/kartor/A 54779-2024 karta.png", "A 54779-2024")</f>
        <v/>
      </c>
      <c r="V1075">
        <f>HYPERLINK("https://klasma.github.io/Logging_2462/klagomål/A 54779-2024 FSC-klagomål.docx", "A 54779-2024")</f>
        <v/>
      </c>
      <c r="W1075">
        <f>HYPERLINK("https://klasma.github.io/Logging_2462/klagomålsmail/A 54779-2024 FSC-klagomål mail.docx", "A 54779-2024")</f>
        <v/>
      </c>
      <c r="X1075">
        <f>HYPERLINK("https://klasma.github.io/Logging_2462/tillsyn/A 54779-2024 tillsynsbegäran.docx", "A 54779-2024")</f>
        <v/>
      </c>
      <c r="Y1075">
        <f>HYPERLINK("https://klasma.github.io/Logging_2462/tillsynsmail/A 54779-2024 tillsynsbegäran mail.docx", "A 54779-2024")</f>
        <v/>
      </c>
    </row>
    <row r="1076" ht="15" customHeight="1">
      <c r="A1076" t="inlineStr">
        <is>
          <t>A 55198-2024</t>
        </is>
      </c>
      <c r="B1076" s="1" t="n">
        <v>45620</v>
      </c>
      <c r="C1076" s="1" t="n">
        <v>45792</v>
      </c>
      <c r="D1076" t="inlineStr">
        <is>
          <t>VÄSTERBOTTENS LÄN</t>
        </is>
      </c>
      <c r="E1076" t="inlineStr">
        <is>
          <t>SKELLEFTEÅ</t>
        </is>
      </c>
      <c r="G1076" t="n">
        <v>1.8</v>
      </c>
      <c r="H1076" t="n">
        <v>0</v>
      </c>
      <c r="I1076" t="n">
        <v>1</v>
      </c>
      <c r="J1076" t="n">
        <v>1</v>
      </c>
      <c r="K1076" t="n">
        <v>0</v>
      </c>
      <c r="L1076" t="n">
        <v>0</v>
      </c>
      <c r="M1076" t="n">
        <v>0</v>
      </c>
      <c r="N1076" t="n">
        <v>0</v>
      </c>
      <c r="O1076" t="n">
        <v>1</v>
      </c>
      <c r="P1076" t="n">
        <v>0</v>
      </c>
      <c r="Q1076" t="n">
        <v>2</v>
      </c>
      <c r="R1076" s="2" t="inlineStr">
        <is>
          <t>Blanksvart spiklav
Nästlav</t>
        </is>
      </c>
      <c r="S1076">
        <f>HYPERLINK("https://klasma.github.io/Logging_2482/artfynd/A 55198-2024 artfynd.xlsx", "A 55198-2024")</f>
        <v/>
      </c>
      <c r="T1076">
        <f>HYPERLINK("https://klasma.github.io/Logging_2482/kartor/A 55198-2024 karta.png", "A 55198-2024")</f>
        <v/>
      </c>
      <c r="V1076">
        <f>HYPERLINK("https://klasma.github.io/Logging_2482/klagomål/A 55198-2024 FSC-klagomål.docx", "A 55198-2024")</f>
        <v/>
      </c>
      <c r="W1076">
        <f>HYPERLINK("https://klasma.github.io/Logging_2482/klagomålsmail/A 55198-2024 FSC-klagomål mail.docx", "A 55198-2024")</f>
        <v/>
      </c>
      <c r="X1076">
        <f>HYPERLINK("https://klasma.github.io/Logging_2482/tillsyn/A 55198-2024 tillsynsbegäran.docx", "A 55198-2024")</f>
        <v/>
      </c>
      <c r="Y1076">
        <f>HYPERLINK("https://klasma.github.io/Logging_2482/tillsynsmail/A 55198-2024 tillsynsbegäran mail.docx", "A 55198-2024")</f>
        <v/>
      </c>
    </row>
    <row r="1077" ht="15" customHeight="1">
      <c r="A1077" t="inlineStr">
        <is>
          <t>A 56045-2024</t>
        </is>
      </c>
      <c r="B1077" s="1" t="n">
        <v>45624</v>
      </c>
      <c r="C1077" s="1" t="n">
        <v>45792</v>
      </c>
      <c r="D1077" t="inlineStr">
        <is>
          <t>VÄSTERBOTTENS LÄN</t>
        </is>
      </c>
      <c r="E1077" t="inlineStr">
        <is>
          <t>LYCKSELE</t>
        </is>
      </c>
      <c r="F1077" t="inlineStr">
        <is>
          <t>Sveaskog</t>
        </is>
      </c>
      <c r="G1077" t="n">
        <v>11.6</v>
      </c>
      <c r="H1077" t="n">
        <v>0</v>
      </c>
      <c r="I1077" t="n">
        <v>1</v>
      </c>
      <c r="J1077" t="n">
        <v>1</v>
      </c>
      <c r="K1077" t="n">
        <v>0</v>
      </c>
      <c r="L1077" t="n">
        <v>0</v>
      </c>
      <c r="M1077" t="n">
        <v>0</v>
      </c>
      <c r="N1077" t="n">
        <v>0</v>
      </c>
      <c r="O1077" t="n">
        <v>1</v>
      </c>
      <c r="P1077" t="n">
        <v>0</v>
      </c>
      <c r="Q1077" t="n">
        <v>2</v>
      </c>
      <c r="R1077" s="2" t="inlineStr">
        <is>
          <t>Kolflarnlav
Dropptaggsvamp</t>
        </is>
      </c>
      <c r="S1077">
        <f>HYPERLINK("https://klasma.github.io/Logging_2481/artfynd/A 56045-2024 artfynd.xlsx", "A 56045-2024")</f>
        <v/>
      </c>
      <c r="T1077">
        <f>HYPERLINK("https://klasma.github.io/Logging_2481/kartor/A 56045-2024 karta.png", "A 56045-2024")</f>
        <v/>
      </c>
      <c r="V1077">
        <f>HYPERLINK("https://klasma.github.io/Logging_2481/klagomål/A 56045-2024 FSC-klagomål.docx", "A 56045-2024")</f>
        <v/>
      </c>
      <c r="W1077">
        <f>HYPERLINK("https://klasma.github.io/Logging_2481/klagomålsmail/A 56045-2024 FSC-klagomål mail.docx", "A 56045-2024")</f>
        <v/>
      </c>
      <c r="X1077">
        <f>HYPERLINK("https://klasma.github.io/Logging_2481/tillsyn/A 56045-2024 tillsynsbegäran.docx", "A 56045-2024")</f>
        <v/>
      </c>
      <c r="Y1077">
        <f>HYPERLINK("https://klasma.github.io/Logging_2481/tillsynsmail/A 56045-2024 tillsynsbegäran mail.docx", "A 56045-2024")</f>
        <v/>
      </c>
    </row>
    <row r="1078" ht="15" customHeight="1">
      <c r="A1078" t="inlineStr">
        <is>
          <t>A 57060-2024</t>
        </is>
      </c>
      <c r="B1078" s="1" t="n">
        <v>45629</v>
      </c>
      <c r="C1078" s="1" t="n">
        <v>45792</v>
      </c>
      <c r="D1078" t="inlineStr">
        <is>
          <t>VÄSTERBOTTENS LÄN</t>
        </is>
      </c>
      <c r="E1078" t="inlineStr">
        <is>
          <t>DOROTEA</t>
        </is>
      </c>
      <c r="F1078" t="inlineStr">
        <is>
          <t>SCA</t>
        </is>
      </c>
      <c r="G1078" t="n">
        <v>8.9</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HYPERLINK("https://klasma.github.io/Logging_2425/artfynd/A 57060-2024 artfynd.xlsx", "A 57060-2024")</f>
        <v/>
      </c>
      <c r="T1078">
        <f>HYPERLINK("https://klasma.github.io/Logging_2425/kartor/A 57060-2024 karta.png", "A 57060-2024")</f>
        <v/>
      </c>
      <c r="V1078">
        <f>HYPERLINK("https://klasma.github.io/Logging_2425/klagomål/A 57060-2024 FSC-klagomål.docx", "A 57060-2024")</f>
        <v/>
      </c>
      <c r="W1078">
        <f>HYPERLINK("https://klasma.github.io/Logging_2425/klagomålsmail/A 57060-2024 FSC-klagomål mail.docx", "A 57060-2024")</f>
        <v/>
      </c>
      <c r="X1078">
        <f>HYPERLINK("https://klasma.github.io/Logging_2425/tillsyn/A 57060-2024 tillsynsbegäran.docx", "A 57060-2024")</f>
        <v/>
      </c>
      <c r="Y1078">
        <f>HYPERLINK("https://klasma.github.io/Logging_2425/tillsynsmail/A 57060-2024 tillsynsbegäran mail.docx", "A 57060-2024")</f>
        <v/>
      </c>
    </row>
    <row r="1079" ht="15" customHeight="1">
      <c r="A1079" t="inlineStr">
        <is>
          <t>A 57222-2024</t>
        </is>
      </c>
      <c r="B1079" s="1" t="n">
        <v>45629</v>
      </c>
      <c r="C1079" s="1" t="n">
        <v>45792</v>
      </c>
      <c r="D1079" t="inlineStr">
        <is>
          <t>VÄSTERBOTTENS LÄN</t>
        </is>
      </c>
      <c r="E1079" t="inlineStr">
        <is>
          <t>SKELLEFTEÅ</t>
        </is>
      </c>
      <c r="F1079" t="inlineStr">
        <is>
          <t>Holmen skog AB</t>
        </is>
      </c>
      <c r="G1079" t="n">
        <v>3.9</v>
      </c>
      <c r="H1079" t="n">
        <v>1</v>
      </c>
      <c r="I1079" t="n">
        <v>0</v>
      </c>
      <c r="J1079" t="n">
        <v>1</v>
      </c>
      <c r="K1079" t="n">
        <v>1</v>
      </c>
      <c r="L1079" t="n">
        <v>0</v>
      </c>
      <c r="M1079" t="n">
        <v>0</v>
      </c>
      <c r="N1079" t="n">
        <v>0</v>
      </c>
      <c r="O1079" t="n">
        <v>2</v>
      </c>
      <c r="P1079" t="n">
        <v>1</v>
      </c>
      <c r="Q1079" t="n">
        <v>2</v>
      </c>
      <c r="R1079" s="2" t="inlineStr">
        <is>
          <t>Knärot
Gammelgransskål</t>
        </is>
      </c>
      <c r="S1079">
        <f>HYPERLINK("https://klasma.github.io/Logging_2482/artfynd/A 57222-2024 artfynd.xlsx", "A 57222-2024")</f>
        <v/>
      </c>
      <c r="T1079">
        <f>HYPERLINK("https://klasma.github.io/Logging_2482/kartor/A 57222-2024 karta.png", "A 57222-2024")</f>
        <v/>
      </c>
      <c r="U1079">
        <f>HYPERLINK("https://klasma.github.io/Logging_2482/knärot/A 57222-2024 karta knärot.png", "A 57222-2024")</f>
        <v/>
      </c>
      <c r="V1079">
        <f>HYPERLINK("https://klasma.github.io/Logging_2482/klagomål/A 57222-2024 FSC-klagomål.docx", "A 57222-2024")</f>
        <v/>
      </c>
      <c r="W1079">
        <f>HYPERLINK("https://klasma.github.io/Logging_2482/klagomålsmail/A 57222-2024 FSC-klagomål mail.docx", "A 57222-2024")</f>
        <v/>
      </c>
      <c r="X1079">
        <f>HYPERLINK("https://klasma.github.io/Logging_2482/tillsyn/A 57222-2024 tillsynsbegäran.docx", "A 57222-2024")</f>
        <v/>
      </c>
      <c r="Y1079">
        <f>HYPERLINK("https://klasma.github.io/Logging_2482/tillsynsmail/A 57222-2024 tillsynsbegäran mail.docx", "A 57222-2024")</f>
        <v/>
      </c>
    </row>
    <row r="1080" ht="15" customHeight="1">
      <c r="A1080" t="inlineStr">
        <is>
          <t>A 57565-2024</t>
        </is>
      </c>
      <c r="B1080" s="1" t="n">
        <v>45630</v>
      </c>
      <c r="C1080" s="1" t="n">
        <v>45792</v>
      </c>
      <c r="D1080" t="inlineStr">
        <is>
          <t>VÄSTERBOTTENS LÄN</t>
        </is>
      </c>
      <c r="E1080" t="inlineStr">
        <is>
          <t>SKELLEFTEÅ</t>
        </is>
      </c>
      <c r="F1080" t="inlineStr">
        <is>
          <t>Sveaskog</t>
        </is>
      </c>
      <c r="G1080" t="n">
        <v>5.5</v>
      </c>
      <c r="H1080" t="n">
        <v>1</v>
      </c>
      <c r="I1080" t="n">
        <v>0</v>
      </c>
      <c r="J1080" t="n">
        <v>2</v>
      </c>
      <c r="K1080" t="n">
        <v>0</v>
      </c>
      <c r="L1080" t="n">
        <v>0</v>
      </c>
      <c r="M1080" t="n">
        <v>0</v>
      </c>
      <c r="N1080" t="n">
        <v>0</v>
      </c>
      <c r="O1080" t="n">
        <v>2</v>
      </c>
      <c r="P1080" t="n">
        <v>0</v>
      </c>
      <c r="Q1080" t="n">
        <v>2</v>
      </c>
      <c r="R1080" s="2" t="inlineStr">
        <is>
          <t>Garnlav
Spillkråka</t>
        </is>
      </c>
      <c r="S1080">
        <f>HYPERLINK("https://klasma.github.io/Logging_2482/artfynd/A 57565-2024 artfynd.xlsx", "A 57565-2024")</f>
        <v/>
      </c>
      <c r="T1080">
        <f>HYPERLINK("https://klasma.github.io/Logging_2482/kartor/A 57565-2024 karta.png", "A 57565-2024")</f>
        <v/>
      </c>
      <c r="V1080">
        <f>HYPERLINK("https://klasma.github.io/Logging_2482/klagomål/A 57565-2024 FSC-klagomål.docx", "A 57565-2024")</f>
        <v/>
      </c>
      <c r="W1080">
        <f>HYPERLINK("https://klasma.github.io/Logging_2482/klagomålsmail/A 57565-2024 FSC-klagomål mail.docx", "A 57565-2024")</f>
        <v/>
      </c>
      <c r="X1080">
        <f>HYPERLINK("https://klasma.github.io/Logging_2482/tillsyn/A 57565-2024 tillsynsbegäran.docx", "A 57565-2024")</f>
        <v/>
      </c>
      <c r="Y1080">
        <f>HYPERLINK("https://klasma.github.io/Logging_2482/tillsynsmail/A 57565-2024 tillsynsbegäran mail.docx", "A 57565-2024")</f>
        <v/>
      </c>
      <c r="Z1080">
        <f>HYPERLINK("https://klasma.github.io/Logging_2482/fåglar/A 57565-2024 prioriterade fågelarter.docx", "A 57565-2024")</f>
        <v/>
      </c>
    </row>
    <row r="1081" ht="15" customHeight="1">
      <c r="A1081" t="inlineStr">
        <is>
          <t>A 57675-2024</t>
        </is>
      </c>
      <c r="B1081" s="1" t="n">
        <v>45630</v>
      </c>
      <c r="C1081" s="1" t="n">
        <v>45792</v>
      </c>
      <c r="D1081" t="inlineStr">
        <is>
          <t>VÄSTERBOTTENS LÄN</t>
        </is>
      </c>
      <c r="E1081" t="inlineStr">
        <is>
          <t>VINDELN</t>
        </is>
      </c>
      <c r="F1081" t="inlineStr">
        <is>
          <t>SCA</t>
        </is>
      </c>
      <c r="G1081" t="n">
        <v>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HYPERLINK("https://klasma.github.io/Logging_2404/artfynd/A 57675-2024 artfynd.xlsx", "A 57675-2024")</f>
        <v/>
      </c>
      <c r="T1081">
        <f>HYPERLINK("https://klasma.github.io/Logging_2404/kartor/A 57675-2024 karta.png", "A 57675-2024")</f>
        <v/>
      </c>
      <c r="V1081">
        <f>HYPERLINK("https://klasma.github.io/Logging_2404/klagomål/A 57675-2024 FSC-klagomål.docx", "A 57675-2024")</f>
        <v/>
      </c>
      <c r="W1081">
        <f>HYPERLINK("https://klasma.github.io/Logging_2404/klagomålsmail/A 57675-2024 FSC-klagomål mail.docx", "A 57675-2024")</f>
        <v/>
      </c>
      <c r="X1081">
        <f>HYPERLINK("https://klasma.github.io/Logging_2404/tillsyn/A 57675-2024 tillsynsbegäran.docx", "A 57675-2024")</f>
        <v/>
      </c>
      <c r="Y1081">
        <f>HYPERLINK("https://klasma.github.io/Logging_2404/tillsynsmail/A 57675-2024 tillsynsbegäran mail.docx", "A 57675-2024")</f>
        <v/>
      </c>
    </row>
    <row r="1082" ht="15" customHeight="1">
      <c r="A1082" t="inlineStr">
        <is>
          <t>A 57801-2024</t>
        </is>
      </c>
      <c r="B1082" s="1" t="n">
        <v>45631</v>
      </c>
      <c r="C1082" s="1" t="n">
        <v>45792</v>
      </c>
      <c r="D1082" t="inlineStr">
        <is>
          <t>VÄSTERBOTTENS LÄN</t>
        </is>
      </c>
      <c r="E1082" t="inlineStr">
        <is>
          <t>MALÅ</t>
        </is>
      </c>
      <c r="G1082" t="n">
        <v>4</v>
      </c>
      <c r="H1082" t="n">
        <v>1</v>
      </c>
      <c r="I1082" t="n">
        <v>0</v>
      </c>
      <c r="J1082" t="n">
        <v>1</v>
      </c>
      <c r="K1082" t="n">
        <v>0</v>
      </c>
      <c r="L1082" t="n">
        <v>0</v>
      </c>
      <c r="M1082" t="n">
        <v>0</v>
      </c>
      <c r="N1082" t="n">
        <v>0</v>
      </c>
      <c r="O1082" t="n">
        <v>1</v>
      </c>
      <c r="P1082" t="n">
        <v>0</v>
      </c>
      <c r="Q1082" t="n">
        <v>2</v>
      </c>
      <c r="R1082" s="2" t="inlineStr">
        <is>
          <t>Rosenticka
Revlummer</t>
        </is>
      </c>
      <c r="S1082">
        <f>HYPERLINK("https://klasma.github.io/Logging_2418/artfynd/A 57801-2024 artfynd.xlsx", "A 57801-2024")</f>
        <v/>
      </c>
      <c r="T1082">
        <f>HYPERLINK("https://klasma.github.io/Logging_2418/kartor/A 57801-2024 karta.png", "A 57801-2024")</f>
        <v/>
      </c>
      <c r="V1082">
        <f>HYPERLINK("https://klasma.github.io/Logging_2418/klagomål/A 57801-2024 FSC-klagomål.docx", "A 57801-2024")</f>
        <v/>
      </c>
      <c r="W1082">
        <f>HYPERLINK("https://klasma.github.io/Logging_2418/klagomålsmail/A 57801-2024 FSC-klagomål mail.docx", "A 57801-2024")</f>
        <v/>
      </c>
      <c r="X1082">
        <f>HYPERLINK("https://klasma.github.io/Logging_2418/tillsyn/A 57801-2024 tillsynsbegäran.docx", "A 57801-2024")</f>
        <v/>
      </c>
      <c r="Y1082">
        <f>HYPERLINK("https://klasma.github.io/Logging_2418/tillsynsmail/A 57801-2024 tillsynsbegäran mail.docx", "A 57801-2024")</f>
        <v/>
      </c>
    </row>
    <row r="1083" ht="15" customHeight="1">
      <c r="A1083" t="inlineStr">
        <is>
          <t>A 57851-2024</t>
        </is>
      </c>
      <c r="B1083" s="1" t="n">
        <v>45631</v>
      </c>
      <c r="C1083" s="1" t="n">
        <v>45792</v>
      </c>
      <c r="D1083" t="inlineStr">
        <is>
          <t>VÄSTERBOTTENS LÄN</t>
        </is>
      </c>
      <c r="E1083" t="inlineStr">
        <is>
          <t>SKELLEFTEÅ</t>
        </is>
      </c>
      <c r="F1083" t="inlineStr">
        <is>
          <t>Sveaskog</t>
        </is>
      </c>
      <c r="G1083" t="n">
        <v>15.7</v>
      </c>
      <c r="H1083" t="n">
        <v>2</v>
      </c>
      <c r="I1083" t="n">
        <v>0</v>
      </c>
      <c r="J1083" t="n">
        <v>0</v>
      </c>
      <c r="K1083" t="n">
        <v>0</v>
      </c>
      <c r="L1083" t="n">
        <v>0</v>
      </c>
      <c r="M1083" t="n">
        <v>0</v>
      </c>
      <c r="N1083" t="n">
        <v>0</v>
      </c>
      <c r="O1083" t="n">
        <v>0</v>
      </c>
      <c r="P1083" t="n">
        <v>0</v>
      </c>
      <c r="Q1083" t="n">
        <v>2</v>
      </c>
      <c r="R1083" s="2" t="inlineStr">
        <is>
          <t>Fläcknycklar
Revlummer</t>
        </is>
      </c>
      <c r="S1083">
        <f>HYPERLINK("https://klasma.github.io/Logging_2482/artfynd/A 57851-2024 artfynd.xlsx", "A 57851-2024")</f>
        <v/>
      </c>
      <c r="T1083">
        <f>HYPERLINK("https://klasma.github.io/Logging_2482/kartor/A 57851-2024 karta.png", "A 57851-2024")</f>
        <v/>
      </c>
      <c r="V1083">
        <f>HYPERLINK("https://klasma.github.io/Logging_2482/klagomål/A 57851-2024 FSC-klagomål.docx", "A 57851-2024")</f>
        <v/>
      </c>
      <c r="W1083">
        <f>HYPERLINK("https://klasma.github.io/Logging_2482/klagomålsmail/A 57851-2024 FSC-klagomål mail.docx", "A 57851-2024")</f>
        <v/>
      </c>
      <c r="X1083">
        <f>HYPERLINK("https://klasma.github.io/Logging_2482/tillsyn/A 57851-2024 tillsynsbegäran.docx", "A 57851-2024")</f>
        <v/>
      </c>
      <c r="Y1083">
        <f>HYPERLINK("https://klasma.github.io/Logging_2482/tillsynsmail/A 57851-2024 tillsynsbegäran mail.docx", "A 57851-2024")</f>
        <v/>
      </c>
    </row>
    <row r="1084" ht="15" customHeight="1">
      <c r="A1084" t="inlineStr">
        <is>
          <t>A 60379-2024</t>
        </is>
      </c>
      <c r="B1084" s="1" t="n">
        <v>45643</v>
      </c>
      <c r="C1084" s="1" t="n">
        <v>45792</v>
      </c>
      <c r="D1084" t="inlineStr">
        <is>
          <t>VÄSTERBOTTENS LÄN</t>
        </is>
      </c>
      <c r="E1084" t="inlineStr">
        <is>
          <t>VILHELMINA</t>
        </is>
      </c>
      <c r="F1084" t="inlineStr">
        <is>
          <t>SCA</t>
        </is>
      </c>
      <c r="G1084" t="n">
        <v>12.4</v>
      </c>
      <c r="H1084" t="n">
        <v>0</v>
      </c>
      <c r="I1084" t="n">
        <v>0</v>
      </c>
      <c r="J1084" t="n">
        <v>2</v>
      </c>
      <c r="K1084" t="n">
        <v>0</v>
      </c>
      <c r="L1084" t="n">
        <v>0</v>
      </c>
      <c r="M1084" t="n">
        <v>0</v>
      </c>
      <c r="N1084" t="n">
        <v>0</v>
      </c>
      <c r="O1084" t="n">
        <v>2</v>
      </c>
      <c r="P1084" t="n">
        <v>0</v>
      </c>
      <c r="Q1084" t="n">
        <v>2</v>
      </c>
      <c r="R1084" s="2" t="inlineStr">
        <is>
          <t>Skrovellav
Ullticka</t>
        </is>
      </c>
      <c r="S1084">
        <f>HYPERLINK("https://klasma.github.io/Logging_2462/artfynd/A 60379-2024 artfynd.xlsx", "A 60379-2024")</f>
        <v/>
      </c>
      <c r="T1084">
        <f>HYPERLINK("https://klasma.github.io/Logging_2462/kartor/A 60379-2024 karta.png", "A 60379-2024")</f>
        <v/>
      </c>
      <c r="V1084">
        <f>HYPERLINK("https://klasma.github.io/Logging_2462/klagomål/A 60379-2024 FSC-klagomål.docx", "A 60379-2024")</f>
        <v/>
      </c>
      <c r="W1084">
        <f>HYPERLINK("https://klasma.github.io/Logging_2462/klagomålsmail/A 60379-2024 FSC-klagomål mail.docx", "A 60379-2024")</f>
        <v/>
      </c>
      <c r="X1084">
        <f>HYPERLINK("https://klasma.github.io/Logging_2462/tillsyn/A 60379-2024 tillsynsbegäran.docx", "A 60379-2024")</f>
        <v/>
      </c>
      <c r="Y1084">
        <f>HYPERLINK("https://klasma.github.io/Logging_2462/tillsynsmail/A 60379-2024 tillsynsbegäran mail.docx", "A 60379-2024")</f>
        <v/>
      </c>
    </row>
    <row r="1085" ht="15" customHeight="1">
      <c r="A1085" t="inlineStr">
        <is>
          <t>A 61172-2024</t>
        </is>
      </c>
      <c r="B1085" s="1" t="n">
        <v>45645</v>
      </c>
      <c r="C1085" s="1" t="n">
        <v>45792</v>
      </c>
      <c r="D1085" t="inlineStr">
        <is>
          <t>VÄSTERBOTTENS LÄN</t>
        </is>
      </c>
      <c r="E1085" t="inlineStr">
        <is>
          <t>BJURHOLM</t>
        </is>
      </c>
      <c r="G1085" t="n">
        <v>4.6</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HYPERLINK("https://klasma.github.io/Logging_2403/artfynd/A 61172-2024 artfynd.xlsx", "A 61172-2024")</f>
        <v/>
      </c>
      <c r="T1085">
        <f>HYPERLINK("https://klasma.github.io/Logging_2403/kartor/A 61172-2024 karta.png", "A 61172-2024")</f>
        <v/>
      </c>
      <c r="V1085">
        <f>HYPERLINK("https://klasma.github.io/Logging_2403/klagomål/A 61172-2024 FSC-klagomål.docx", "A 61172-2024")</f>
        <v/>
      </c>
      <c r="W1085">
        <f>HYPERLINK("https://klasma.github.io/Logging_2403/klagomålsmail/A 61172-2024 FSC-klagomål mail.docx", "A 61172-2024")</f>
        <v/>
      </c>
      <c r="X1085">
        <f>HYPERLINK("https://klasma.github.io/Logging_2403/tillsyn/A 61172-2024 tillsynsbegäran.docx", "A 61172-2024")</f>
        <v/>
      </c>
      <c r="Y1085">
        <f>HYPERLINK("https://klasma.github.io/Logging_2403/tillsynsmail/A 61172-2024 tillsynsbegäran mail.docx", "A 61172-2024")</f>
        <v/>
      </c>
    </row>
    <row r="1086" ht="15" customHeight="1">
      <c r="A1086" t="inlineStr">
        <is>
          <t>A 1059-2025</t>
        </is>
      </c>
      <c r="B1086" s="1" t="n">
        <v>45666</v>
      </c>
      <c r="C1086" s="1" t="n">
        <v>45792</v>
      </c>
      <c r="D1086" t="inlineStr">
        <is>
          <t>VÄSTERBOTTENS LÄN</t>
        </is>
      </c>
      <c r="E1086" t="inlineStr">
        <is>
          <t>VINDELN</t>
        </is>
      </c>
      <c r="F1086" t="inlineStr">
        <is>
          <t>SCA</t>
        </is>
      </c>
      <c r="G1086" t="n">
        <v>4.4</v>
      </c>
      <c r="H1086" t="n">
        <v>1</v>
      </c>
      <c r="I1086" t="n">
        <v>0</v>
      </c>
      <c r="J1086" t="n">
        <v>2</v>
      </c>
      <c r="K1086" t="n">
        <v>0</v>
      </c>
      <c r="L1086" t="n">
        <v>0</v>
      </c>
      <c r="M1086" t="n">
        <v>0</v>
      </c>
      <c r="N1086" t="n">
        <v>0</v>
      </c>
      <c r="O1086" t="n">
        <v>2</v>
      </c>
      <c r="P1086" t="n">
        <v>0</v>
      </c>
      <c r="Q1086" t="n">
        <v>2</v>
      </c>
      <c r="R1086" s="2" t="inlineStr">
        <is>
          <t>Garnlav
Talltita</t>
        </is>
      </c>
      <c r="S1086">
        <f>HYPERLINK("https://klasma.github.io/Logging_2404/artfynd/A 1059-2025 artfynd.xlsx", "A 1059-2025")</f>
        <v/>
      </c>
      <c r="T1086">
        <f>HYPERLINK("https://klasma.github.io/Logging_2404/kartor/A 1059-2025 karta.png", "A 1059-2025")</f>
        <v/>
      </c>
      <c r="V1086">
        <f>HYPERLINK("https://klasma.github.io/Logging_2404/klagomål/A 1059-2025 FSC-klagomål.docx", "A 1059-2025")</f>
        <v/>
      </c>
      <c r="W1086">
        <f>HYPERLINK("https://klasma.github.io/Logging_2404/klagomålsmail/A 1059-2025 FSC-klagomål mail.docx", "A 1059-2025")</f>
        <v/>
      </c>
      <c r="X1086">
        <f>HYPERLINK("https://klasma.github.io/Logging_2404/tillsyn/A 1059-2025 tillsynsbegäran.docx", "A 1059-2025")</f>
        <v/>
      </c>
      <c r="Y1086">
        <f>HYPERLINK("https://klasma.github.io/Logging_2404/tillsynsmail/A 1059-2025 tillsynsbegäran mail.docx", "A 1059-2025")</f>
        <v/>
      </c>
      <c r="Z1086">
        <f>HYPERLINK("https://klasma.github.io/Logging_2404/fåglar/A 1059-2025 prioriterade fågelarter.docx", "A 1059-2025")</f>
        <v/>
      </c>
    </row>
    <row r="1087" ht="15" customHeight="1">
      <c r="A1087" t="inlineStr">
        <is>
          <t>A 5110-2025</t>
        </is>
      </c>
      <c r="B1087" s="1" t="n">
        <v>45691</v>
      </c>
      <c r="C1087" s="1" t="n">
        <v>45792</v>
      </c>
      <c r="D1087" t="inlineStr">
        <is>
          <t>VÄSTERBOTTENS LÄN</t>
        </is>
      </c>
      <c r="E1087" t="inlineStr">
        <is>
          <t>SKELLEFTEÅ</t>
        </is>
      </c>
      <c r="G1087" t="n">
        <v>3.5</v>
      </c>
      <c r="H1087" t="n">
        <v>0</v>
      </c>
      <c r="I1087" t="n">
        <v>0</v>
      </c>
      <c r="J1087" t="n">
        <v>2</v>
      </c>
      <c r="K1087" t="n">
        <v>0</v>
      </c>
      <c r="L1087" t="n">
        <v>0</v>
      </c>
      <c r="M1087" t="n">
        <v>0</v>
      </c>
      <c r="N1087" t="n">
        <v>0</v>
      </c>
      <c r="O1087" t="n">
        <v>2</v>
      </c>
      <c r="P1087" t="n">
        <v>0</v>
      </c>
      <c r="Q1087" t="n">
        <v>2</v>
      </c>
      <c r="R1087" s="2" t="inlineStr">
        <is>
          <t>Gammelgransskål
Harticka</t>
        </is>
      </c>
      <c r="S1087">
        <f>HYPERLINK("https://klasma.github.io/Logging_2482/artfynd/A 5110-2025 artfynd.xlsx", "A 5110-2025")</f>
        <v/>
      </c>
      <c r="T1087">
        <f>HYPERLINK("https://klasma.github.io/Logging_2482/kartor/A 5110-2025 karta.png", "A 5110-2025")</f>
        <v/>
      </c>
      <c r="V1087">
        <f>HYPERLINK("https://klasma.github.io/Logging_2482/klagomål/A 5110-2025 FSC-klagomål.docx", "A 5110-2025")</f>
        <v/>
      </c>
      <c r="W1087">
        <f>HYPERLINK("https://klasma.github.io/Logging_2482/klagomålsmail/A 5110-2025 FSC-klagomål mail.docx", "A 5110-2025")</f>
        <v/>
      </c>
      <c r="X1087">
        <f>HYPERLINK("https://klasma.github.io/Logging_2482/tillsyn/A 5110-2025 tillsynsbegäran.docx", "A 5110-2025")</f>
        <v/>
      </c>
      <c r="Y1087">
        <f>HYPERLINK("https://klasma.github.io/Logging_2482/tillsynsmail/A 5110-2025 tillsynsbegäran mail.docx", "A 5110-2025")</f>
        <v/>
      </c>
    </row>
    <row r="1088" ht="15" customHeight="1">
      <c r="A1088" t="inlineStr">
        <is>
          <t>A 4996-2025</t>
        </is>
      </c>
      <c r="B1088" s="1" t="n">
        <v>45691</v>
      </c>
      <c r="C1088" s="1" t="n">
        <v>45792</v>
      </c>
      <c r="D1088" t="inlineStr">
        <is>
          <t>VÄSTERBOTTENS LÄN</t>
        </is>
      </c>
      <c r="E1088" t="inlineStr">
        <is>
          <t>SKELLEFTEÅ</t>
        </is>
      </c>
      <c r="G1088" t="n">
        <v>25.4</v>
      </c>
      <c r="H1088" t="n">
        <v>0</v>
      </c>
      <c r="I1088" t="n">
        <v>0</v>
      </c>
      <c r="J1088" t="n">
        <v>2</v>
      </c>
      <c r="K1088" t="n">
        <v>0</v>
      </c>
      <c r="L1088" t="n">
        <v>0</v>
      </c>
      <c r="M1088" t="n">
        <v>0</v>
      </c>
      <c r="N1088" t="n">
        <v>0</v>
      </c>
      <c r="O1088" t="n">
        <v>2</v>
      </c>
      <c r="P1088" t="n">
        <v>0</v>
      </c>
      <c r="Q1088" t="n">
        <v>2</v>
      </c>
      <c r="R1088" s="2" t="inlineStr">
        <is>
          <t>Garnlav
Ullticka</t>
        </is>
      </c>
      <c r="S1088">
        <f>HYPERLINK("https://klasma.github.io/Logging_2482/artfynd/A 4996-2025 artfynd.xlsx", "A 4996-2025")</f>
        <v/>
      </c>
      <c r="T1088">
        <f>HYPERLINK("https://klasma.github.io/Logging_2482/kartor/A 4996-2025 karta.png", "A 4996-2025")</f>
        <v/>
      </c>
      <c r="U1088">
        <f>HYPERLINK("https://klasma.github.io/Logging_2482/knärot/A 4996-2025 karta knärot.png", "A 4996-2025")</f>
        <v/>
      </c>
      <c r="V1088">
        <f>HYPERLINK("https://klasma.github.io/Logging_2482/klagomål/A 4996-2025 FSC-klagomål.docx", "A 4996-2025")</f>
        <v/>
      </c>
      <c r="W1088">
        <f>HYPERLINK("https://klasma.github.io/Logging_2482/klagomålsmail/A 4996-2025 FSC-klagomål mail.docx", "A 4996-2025")</f>
        <v/>
      </c>
      <c r="X1088">
        <f>HYPERLINK("https://klasma.github.io/Logging_2482/tillsyn/A 4996-2025 tillsynsbegäran.docx", "A 4996-2025")</f>
        <v/>
      </c>
      <c r="Y1088">
        <f>HYPERLINK("https://klasma.github.io/Logging_2482/tillsynsmail/A 4996-2025 tillsynsbegäran mail.docx", "A 4996-2025")</f>
        <v/>
      </c>
    </row>
    <row r="1089" ht="15" customHeight="1">
      <c r="A1089" t="inlineStr">
        <is>
          <t>A 6031-2025</t>
        </is>
      </c>
      <c r="B1089" s="1" t="n">
        <v>45695</v>
      </c>
      <c r="C1089" s="1" t="n">
        <v>45792</v>
      </c>
      <c r="D1089" t="inlineStr">
        <is>
          <t>VÄSTERBOTTENS LÄN</t>
        </is>
      </c>
      <c r="E1089" t="inlineStr">
        <is>
          <t>LYCKSELE</t>
        </is>
      </c>
      <c r="F1089" t="inlineStr">
        <is>
          <t>SCA</t>
        </is>
      </c>
      <c r="G1089" t="n">
        <v>25.8</v>
      </c>
      <c r="H1089" t="n">
        <v>0</v>
      </c>
      <c r="I1089" t="n">
        <v>1</v>
      </c>
      <c r="J1089" t="n">
        <v>1</v>
      </c>
      <c r="K1089" t="n">
        <v>0</v>
      </c>
      <c r="L1089" t="n">
        <v>0</v>
      </c>
      <c r="M1089" t="n">
        <v>0</v>
      </c>
      <c r="N1089" t="n">
        <v>0</v>
      </c>
      <c r="O1089" t="n">
        <v>1</v>
      </c>
      <c r="P1089" t="n">
        <v>0</v>
      </c>
      <c r="Q1089" t="n">
        <v>2</v>
      </c>
      <c r="R1089" s="2" t="inlineStr">
        <is>
          <t>Skrovellav
Stuplav</t>
        </is>
      </c>
      <c r="S1089">
        <f>HYPERLINK("https://klasma.github.io/Logging_2481/artfynd/A 6031-2025 artfynd.xlsx", "A 6031-2025")</f>
        <v/>
      </c>
      <c r="T1089">
        <f>HYPERLINK("https://klasma.github.io/Logging_2481/kartor/A 6031-2025 karta.png", "A 6031-2025")</f>
        <v/>
      </c>
      <c r="V1089">
        <f>HYPERLINK("https://klasma.github.io/Logging_2481/klagomål/A 6031-2025 FSC-klagomål.docx", "A 6031-2025")</f>
        <v/>
      </c>
      <c r="W1089">
        <f>HYPERLINK("https://klasma.github.io/Logging_2481/klagomålsmail/A 6031-2025 FSC-klagomål mail.docx", "A 6031-2025")</f>
        <v/>
      </c>
      <c r="X1089">
        <f>HYPERLINK("https://klasma.github.io/Logging_2481/tillsyn/A 6031-2025 tillsynsbegäran.docx", "A 6031-2025")</f>
        <v/>
      </c>
      <c r="Y1089">
        <f>HYPERLINK("https://klasma.github.io/Logging_2481/tillsynsmail/A 6031-2025 tillsynsbegäran mail.docx", "A 6031-2025")</f>
        <v/>
      </c>
    </row>
    <row r="1090" ht="15" customHeight="1">
      <c r="A1090" t="inlineStr">
        <is>
          <t>A 7702-2025</t>
        </is>
      </c>
      <c r="B1090" s="1" t="n">
        <v>45706</v>
      </c>
      <c r="C1090" s="1" t="n">
        <v>45792</v>
      </c>
      <c r="D1090" t="inlineStr">
        <is>
          <t>VÄSTERBOTTENS LÄN</t>
        </is>
      </c>
      <c r="E1090" t="inlineStr">
        <is>
          <t>LYCKSELE</t>
        </is>
      </c>
      <c r="G1090" t="n">
        <v>3.5</v>
      </c>
      <c r="H1090" t="n">
        <v>1</v>
      </c>
      <c r="I1090" t="n">
        <v>0</v>
      </c>
      <c r="J1090" t="n">
        <v>1</v>
      </c>
      <c r="K1090" t="n">
        <v>0</v>
      </c>
      <c r="L1090" t="n">
        <v>0</v>
      </c>
      <c r="M1090" t="n">
        <v>0</v>
      </c>
      <c r="N1090" t="n">
        <v>0</v>
      </c>
      <c r="O1090" t="n">
        <v>1</v>
      </c>
      <c r="P1090" t="n">
        <v>0</v>
      </c>
      <c r="Q1090" t="n">
        <v>2</v>
      </c>
      <c r="R1090" s="2" t="inlineStr">
        <is>
          <t>Garnlav
Kungsfågel</t>
        </is>
      </c>
      <c r="S1090">
        <f>HYPERLINK("https://klasma.github.io/Logging_2481/artfynd/A 7702-2025 artfynd.xlsx", "A 7702-2025")</f>
        <v/>
      </c>
      <c r="T1090">
        <f>HYPERLINK("https://klasma.github.io/Logging_2481/kartor/A 7702-2025 karta.png", "A 7702-2025")</f>
        <v/>
      </c>
      <c r="V1090">
        <f>HYPERLINK("https://klasma.github.io/Logging_2481/klagomål/A 7702-2025 FSC-klagomål.docx", "A 7702-2025")</f>
        <v/>
      </c>
      <c r="W1090">
        <f>HYPERLINK("https://klasma.github.io/Logging_2481/klagomålsmail/A 7702-2025 FSC-klagomål mail.docx", "A 7702-2025")</f>
        <v/>
      </c>
      <c r="X1090">
        <f>HYPERLINK("https://klasma.github.io/Logging_2481/tillsyn/A 7702-2025 tillsynsbegäran.docx", "A 7702-2025")</f>
        <v/>
      </c>
      <c r="Y1090">
        <f>HYPERLINK("https://klasma.github.io/Logging_2481/tillsynsmail/A 7702-2025 tillsynsbegäran mail.docx", "A 7702-2025")</f>
        <v/>
      </c>
      <c r="Z1090">
        <f>HYPERLINK("https://klasma.github.io/Logging_2481/fåglar/A 7702-2025 prioriterade fågelarter.docx", "A 7702-2025")</f>
        <v/>
      </c>
    </row>
    <row r="1091" ht="15" customHeight="1">
      <c r="A1091" t="inlineStr">
        <is>
          <t>A 9699-2025</t>
        </is>
      </c>
      <c r="B1091" s="1" t="n">
        <v>45716</v>
      </c>
      <c r="C1091" s="1" t="n">
        <v>45792</v>
      </c>
      <c r="D1091" t="inlineStr">
        <is>
          <t>VÄSTERBOTTENS LÄN</t>
        </is>
      </c>
      <c r="E1091" t="inlineStr">
        <is>
          <t>SKELLEFTEÅ</t>
        </is>
      </c>
      <c r="G1091" t="n">
        <v>12</v>
      </c>
      <c r="H1091" t="n">
        <v>1</v>
      </c>
      <c r="I1091" t="n">
        <v>0</v>
      </c>
      <c r="J1091" t="n">
        <v>2</v>
      </c>
      <c r="K1091" t="n">
        <v>0</v>
      </c>
      <c r="L1091" t="n">
        <v>0</v>
      </c>
      <c r="M1091" t="n">
        <v>0</v>
      </c>
      <c r="N1091" t="n">
        <v>0</v>
      </c>
      <c r="O1091" t="n">
        <v>2</v>
      </c>
      <c r="P1091" t="n">
        <v>0</v>
      </c>
      <c r="Q1091" t="n">
        <v>2</v>
      </c>
      <c r="R1091" s="2" t="inlineStr">
        <is>
          <t>Spillkråka
Violettgrå tagellav</t>
        </is>
      </c>
      <c r="S1091">
        <f>HYPERLINK("https://klasma.github.io/Logging_242482/artfynd/A 9699-2025 artfynd.xlsx", "A 9699-2025")</f>
        <v/>
      </c>
      <c r="T1091">
        <f>HYPERLINK("https://klasma.github.io/Logging_242482/kartor/A 9699-2025 karta.png", "A 9699-2025")</f>
        <v/>
      </c>
      <c r="V1091">
        <f>HYPERLINK("https://klasma.github.io/Logging_242482/klagomål/A 9699-2025 FSC-klagomål.docx", "A 9699-2025")</f>
        <v/>
      </c>
      <c r="W1091">
        <f>HYPERLINK("https://klasma.github.io/Logging_242482/klagomålsmail/A 9699-2025 FSC-klagomål mail.docx", "A 9699-2025")</f>
        <v/>
      </c>
      <c r="X1091">
        <f>HYPERLINK("https://klasma.github.io/Logging_242482/tillsyn/A 9699-2025 tillsynsbegäran.docx", "A 9699-2025")</f>
        <v/>
      </c>
      <c r="Y1091">
        <f>HYPERLINK("https://klasma.github.io/Logging_242482/tillsynsmail/A 9699-2025 tillsynsbegäran mail.docx", "A 9699-2025")</f>
        <v/>
      </c>
      <c r="Z1091">
        <f>HYPERLINK("https://klasma.github.io/Logging_242482/fåglar/A 9699-2025 prioriterade fågelarter.docx", "A 9699-2025")</f>
        <v/>
      </c>
    </row>
    <row r="1092" ht="15" customHeight="1">
      <c r="A1092" t="inlineStr">
        <is>
          <t>A 13645-2025</t>
        </is>
      </c>
      <c r="B1092" s="1" t="n">
        <v>45736</v>
      </c>
      <c r="C1092" s="1" t="n">
        <v>45792</v>
      </c>
      <c r="D1092" t="inlineStr">
        <is>
          <t>VÄSTERBOTTENS LÄN</t>
        </is>
      </c>
      <c r="E1092" t="inlineStr">
        <is>
          <t>LYCKSELE</t>
        </is>
      </c>
      <c r="F1092" t="inlineStr">
        <is>
          <t>SCA</t>
        </is>
      </c>
      <c r="G1092" t="n">
        <v>19.6</v>
      </c>
      <c r="H1092" t="n">
        <v>1</v>
      </c>
      <c r="I1092" t="n">
        <v>1</v>
      </c>
      <c r="J1092" t="n">
        <v>1</v>
      </c>
      <c r="K1092" t="n">
        <v>0</v>
      </c>
      <c r="L1092" t="n">
        <v>0</v>
      </c>
      <c r="M1092" t="n">
        <v>0</v>
      </c>
      <c r="N1092" t="n">
        <v>0</v>
      </c>
      <c r="O1092" t="n">
        <v>1</v>
      </c>
      <c r="P1092" t="n">
        <v>0</v>
      </c>
      <c r="Q1092" t="n">
        <v>2</v>
      </c>
      <c r="R1092" s="2" t="inlineStr">
        <is>
          <t>Talltita
Dropptaggsvamp</t>
        </is>
      </c>
      <c r="S1092">
        <f>HYPERLINK("https://klasma.github.io/Logging_242481/artfynd/A 13645-2025 artfynd.xlsx", "A 13645-2025")</f>
        <v/>
      </c>
      <c r="T1092">
        <f>HYPERLINK("https://klasma.github.io/Logging_242481/kartor/A 13645-2025 karta.png", "A 13645-2025")</f>
        <v/>
      </c>
      <c r="V1092">
        <f>HYPERLINK("https://klasma.github.io/Logging_242481/klagomål/A 13645-2025 FSC-klagomål.docx", "A 13645-2025")</f>
        <v/>
      </c>
      <c r="W1092">
        <f>HYPERLINK("https://klasma.github.io/Logging_242481/klagomålsmail/A 13645-2025 FSC-klagomål mail.docx", "A 13645-2025")</f>
        <v/>
      </c>
      <c r="X1092">
        <f>HYPERLINK("https://klasma.github.io/Logging_242481/tillsyn/A 13645-2025 tillsynsbegäran.docx", "A 13645-2025")</f>
        <v/>
      </c>
      <c r="Y1092">
        <f>HYPERLINK("https://klasma.github.io/Logging_242481/tillsynsmail/A 13645-2025 tillsynsbegäran mail.docx", "A 13645-2025")</f>
        <v/>
      </c>
      <c r="Z1092">
        <f>HYPERLINK("https://klasma.github.io/Logging_242481/fåglar/A 13645-2025 prioriterade fågelarter.docx", "A 13645-2025")</f>
        <v/>
      </c>
    </row>
    <row r="1093" ht="15" customHeight="1">
      <c r="A1093" t="inlineStr">
        <is>
          <t>A 14391-2025</t>
        </is>
      </c>
      <c r="B1093" s="1" t="n">
        <v>45741</v>
      </c>
      <c r="C1093" s="1" t="n">
        <v>45792</v>
      </c>
      <c r="D1093" t="inlineStr">
        <is>
          <t>VÄSTERBOTTENS LÄN</t>
        </is>
      </c>
      <c r="E1093" t="inlineStr">
        <is>
          <t>SKELLEFTEÅ</t>
        </is>
      </c>
      <c r="G1093" t="n">
        <v>3.2</v>
      </c>
      <c r="H1093" t="n">
        <v>2</v>
      </c>
      <c r="I1093" t="n">
        <v>0</v>
      </c>
      <c r="J1093" t="n">
        <v>0</v>
      </c>
      <c r="K1093" t="n">
        <v>0</v>
      </c>
      <c r="L1093" t="n">
        <v>0</v>
      </c>
      <c r="M1093" t="n">
        <v>0</v>
      </c>
      <c r="N1093" t="n">
        <v>0</v>
      </c>
      <c r="O1093" t="n">
        <v>0</v>
      </c>
      <c r="P1093" t="n">
        <v>0</v>
      </c>
      <c r="Q1093" t="n">
        <v>2</v>
      </c>
      <c r="R1093" s="2" t="inlineStr">
        <is>
          <t>Enkelbeckasin
Grönsiska</t>
        </is>
      </c>
      <c r="S1093">
        <f>HYPERLINK("https://klasma.github.io/Logging_242482/artfynd/A 14391-2025 artfynd.xlsx", "A 14391-2025")</f>
        <v/>
      </c>
      <c r="T1093">
        <f>HYPERLINK("https://klasma.github.io/Logging_242482/kartor/A 14391-2025 karta.png", "A 14391-2025")</f>
        <v/>
      </c>
      <c r="V1093">
        <f>HYPERLINK("https://klasma.github.io/Logging_242482/klagomål/A 14391-2025 FSC-klagomål.docx", "A 14391-2025")</f>
        <v/>
      </c>
      <c r="W1093">
        <f>HYPERLINK("https://klasma.github.io/Logging_242482/klagomålsmail/A 14391-2025 FSC-klagomål mail.docx", "A 14391-2025")</f>
        <v/>
      </c>
      <c r="X1093">
        <f>HYPERLINK("https://klasma.github.io/Logging_242482/tillsyn/A 14391-2025 tillsynsbegäran.docx", "A 14391-2025")</f>
        <v/>
      </c>
      <c r="Y1093">
        <f>HYPERLINK("https://klasma.github.io/Logging_242482/tillsynsmail/A 14391-2025 tillsynsbegäran mail.docx", "A 14391-2025")</f>
        <v/>
      </c>
      <c r="Z1093">
        <f>HYPERLINK("https://klasma.github.io/Logging_242482/fåglar/A 14391-2025 prioriterade fågelarter.docx", "A 14391-2025")</f>
        <v/>
      </c>
    </row>
    <row r="1094" ht="15" customHeight="1">
      <c r="A1094" t="inlineStr">
        <is>
          <t>A 19492-2025</t>
        </is>
      </c>
      <c r="B1094" s="1" t="n">
        <v>45770</v>
      </c>
      <c r="C1094" s="1" t="n">
        <v>45792</v>
      </c>
      <c r="D1094" t="inlineStr">
        <is>
          <t>VÄSTERBOTTENS LÄN</t>
        </is>
      </c>
      <c r="E1094" t="inlineStr">
        <is>
          <t>LYCKSELE</t>
        </is>
      </c>
      <c r="F1094" t="inlineStr">
        <is>
          <t>SCA</t>
        </is>
      </c>
      <c r="G1094" t="n">
        <v>14.2</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HYPERLINK("https://klasma.github.io/Logging_242481/artfynd/A 19492-2025 artfynd.xlsx", "A 19492-2025")</f>
        <v/>
      </c>
      <c r="T1094">
        <f>HYPERLINK("https://klasma.github.io/Logging_242481/kartor/A 19492-2025 karta.png", "A 19492-2025")</f>
        <v/>
      </c>
      <c r="V1094">
        <f>HYPERLINK("https://klasma.github.io/Logging_242481/klagomål/A 19492-2025 FSC-klagomål.docx", "A 19492-2025")</f>
        <v/>
      </c>
      <c r="W1094">
        <f>HYPERLINK("https://klasma.github.io/Logging_242481/klagomålsmail/A 19492-2025 FSC-klagomål mail.docx", "A 19492-2025")</f>
        <v/>
      </c>
      <c r="X1094">
        <f>HYPERLINK("https://klasma.github.io/Logging_242481/tillsyn/A 19492-2025 tillsynsbegäran.docx", "A 19492-2025")</f>
        <v/>
      </c>
      <c r="Y1094">
        <f>HYPERLINK("https://klasma.github.io/Logging_242481/tillsynsmail/A 19492-2025 tillsynsbegäran mail.docx", "A 19492-2025")</f>
        <v/>
      </c>
    </row>
    <row r="1095" ht="15" customHeight="1">
      <c r="A1095" t="inlineStr">
        <is>
          <t>A 20111-2025</t>
        </is>
      </c>
      <c r="B1095" s="1" t="n">
        <v>45772</v>
      </c>
      <c r="C1095" s="1" t="n">
        <v>45792</v>
      </c>
      <c r="D1095" t="inlineStr">
        <is>
          <t>VÄSTERBOTTENS LÄN</t>
        </is>
      </c>
      <c r="E1095" t="inlineStr">
        <is>
          <t>LYCKSELE</t>
        </is>
      </c>
      <c r="F1095" t="inlineStr">
        <is>
          <t>Sveaskog</t>
        </is>
      </c>
      <c r="G1095" t="n">
        <v>6.9</v>
      </c>
      <c r="H1095" t="n">
        <v>0</v>
      </c>
      <c r="I1095" t="n">
        <v>0</v>
      </c>
      <c r="J1095" t="n">
        <v>2</v>
      </c>
      <c r="K1095" t="n">
        <v>0</v>
      </c>
      <c r="L1095" t="n">
        <v>0</v>
      </c>
      <c r="M1095" t="n">
        <v>0</v>
      </c>
      <c r="N1095" t="n">
        <v>0</v>
      </c>
      <c r="O1095" t="n">
        <v>2</v>
      </c>
      <c r="P1095" t="n">
        <v>0</v>
      </c>
      <c r="Q1095" t="n">
        <v>2</v>
      </c>
      <c r="R1095" s="2" t="inlineStr">
        <is>
          <t>Blå taggsvamp
Orange taggsvamp</t>
        </is>
      </c>
      <c r="S1095">
        <f>HYPERLINK("https://klasma.github.io/Logging_242481/artfynd/A 20111-2025 artfynd.xlsx", "A 20111-2025")</f>
        <v/>
      </c>
      <c r="T1095">
        <f>HYPERLINK("https://klasma.github.io/Logging_242481/kartor/A 20111-2025 karta.png", "A 20111-2025")</f>
        <v/>
      </c>
      <c r="V1095">
        <f>HYPERLINK("https://klasma.github.io/Logging_242481/klagomål/A 20111-2025 FSC-klagomål.docx", "A 20111-2025")</f>
        <v/>
      </c>
      <c r="W1095">
        <f>HYPERLINK("https://klasma.github.io/Logging_242481/klagomålsmail/A 20111-2025 FSC-klagomål mail.docx", "A 20111-2025")</f>
        <v/>
      </c>
      <c r="X1095">
        <f>HYPERLINK("https://klasma.github.io/Logging_242481/tillsyn/A 20111-2025 tillsynsbegäran.docx", "A 20111-2025")</f>
        <v/>
      </c>
      <c r="Y1095">
        <f>HYPERLINK("https://klasma.github.io/Logging_242481/tillsynsmail/A 20111-2025 tillsynsbegäran mail.docx", "A 20111-2025")</f>
        <v/>
      </c>
    </row>
    <row r="1096" ht="15" customHeight="1">
      <c r="A1096" t="inlineStr">
        <is>
          <t>A 20367-2025</t>
        </is>
      </c>
      <c r="B1096" s="1" t="n">
        <v>45775</v>
      </c>
      <c r="C1096" s="1" t="n">
        <v>45792</v>
      </c>
      <c r="D1096" t="inlineStr">
        <is>
          <t>VÄSTERBOTTENS LÄN</t>
        </is>
      </c>
      <c r="E1096" t="inlineStr">
        <is>
          <t>SKELLEFTEÅ</t>
        </is>
      </c>
      <c r="G1096" t="n">
        <v>3</v>
      </c>
      <c r="H1096" t="n">
        <v>1</v>
      </c>
      <c r="I1096" t="n">
        <v>0</v>
      </c>
      <c r="J1096" t="n">
        <v>1</v>
      </c>
      <c r="K1096" t="n">
        <v>1</v>
      </c>
      <c r="L1096" t="n">
        <v>0</v>
      </c>
      <c r="M1096" t="n">
        <v>0</v>
      </c>
      <c r="N1096" t="n">
        <v>0</v>
      </c>
      <c r="O1096" t="n">
        <v>2</v>
      </c>
      <c r="P1096" t="n">
        <v>1</v>
      </c>
      <c r="Q1096" t="n">
        <v>2</v>
      </c>
      <c r="R1096" s="2" t="inlineStr">
        <is>
          <t>Knärot
Ullticka</t>
        </is>
      </c>
      <c r="S1096">
        <f>HYPERLINK("https://klasma.github.io/Logging_242482/artfynd/A 20367-2025 artfynd.xlsx", "A 20367-2025")</f>
        <v/>
      </c>
      <c r="T1096">
        <f>HYPERLINK("https://klasma.github.io/Logging_242482/kartor/A 20367-2025 karta.png", "A 20367-2025")</f>
        <v/>
      </c>
      <c r="U1096">
        <f>HYPERLINK("https://klasma.github.io/Logging_242482/knärot/A 20367-2025 karta knärot.png", "A 20367-2025")</f>
        <v/>
      </c>
      <c r="V1096">
        <f>HYPERLINK("https://klasma.github.io/Logging_242482/klagomål/A 20367-2025 FSC-klagomål.docx", "A 20367-2025")</f>
        <v/>
      </c>
      <c r="W1096">
        <f>HYPERLINK("https://klasma.github.io/Logging_242482/klagomålsmail/A 20367-2025 FSC-klagomål mail.docx", "A 20367-2025")</f>
        <v/>
      </c>
      <c r="X1096">
        <f>HYPERLINK("https://klasma.github.io/Logging_242482/tillsyn/A 20367-2025 tillsynsbegäran.docx", "A 20367-2025")</f>
        <v/>
      </c>
      <c r="Y1096">
        <f>HYPERLINK("https://klasma.github.io/Logging_242482/tillsynsmail/A 20367-2025 tillsynsbegäran mail.docx", "A 20367-2025")</f>
        <v/>
      </c>
    </row>
    <row r="1097" ht="15" customHeight="1">
      <c r="A1097" t="inlineStr">
        <is>
          <t>A 19106-2019</t>
        </is>
      </c>
      <c r="B1097" s="1" t="n">
        <v>43564</v>
      </c>
      <c r="C1097" s="1" t="n">
        <v>45792</v>
      </c>
      <c r="D1097" t="inlineStr">
        <is>
          <t>VÄSTERBOTTENS LÄN</t>
        </is>
      </c>
      <c r="E1097" t="inlineStr">
        <is>
          <t>BJURHOLM</t>
        </is>
      </c>
      <c r="G1097" t="n">
        <v>1.7</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HYPERLINK("https://klasma.github.io/Logging_2403/artfynd/A 19106-2019 artfynd.xlsx", "A 19106-2019")</f>
        <v/>
      </c>
      <c r="T1097">
        <f>HYPERLINK("https://klasma.github.io/Logging_2403/kartor/A 19106-2019 karta.png", "A 19106-2019")</f>
        <v/>
      </c>
      <c r="V1097">
        <f>HYPERLINK("https://klasma.github.io/Logging_2403/klagomål/A 19106-2019 FSC-klagomål.docx", "A 19106-2019")</f>
        <v/>
      </c>
      <c r="W1097">
        <f>HYPERLINK("https://klasma.github.io/Logging_2403/klagomålsmail/A 19106-2019 FSC-klagomål mail.docx", "A 19106-2019")</f>
        <v/>
      </c>
      <c r="X1097">
        <f>HYPERLINK("https://klasma.github.io/Logging_2403/tillsyn/A 19106-2019 tillsynsbegäran.docx", "A 19106-2019")</f>
        <v/>
      </c>
      <c r="Y1097">
        <f>HYPERLINK("https://klasma.github.io/Logging_2403/tillsynsmail/A 19106-2019 tillsynsbegäran mail.docx", "A 19106-2019")</f>
        <v/>
      </c>
    </row>
    <row r="1098" ht="15" customHeight="1">
      <c r="A1098" t="inlineStr">
        <is>
          <t>A 20337-2019</t>
        </is>
      </c>
      <c r="B1098" s="1" t="n">
        <v>43570</v>
      </c>
      <c r="C1098" s="1" t="n">
        <v>45792</v>
      </c>
      <c r="D1098" t="inlineStr">
        <is>
          <t>VÄSTERBOTTENS LÄN</t>
        </is>
      </c>
      <c r="E1098" t="inlineStr">
        <is>
          <t>NORSJÖ</t>
        </is>
      </c>
      <c r="G1098" t="n">
        <v>6.4</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HYPERLINK("https://klasma.github.io/Logging_2417/artfynd/A 20337-2019 artfynd.xlsx", "A 20337-2019")</f>
        <v/>
      </c>
      <c r="T1098">
        <f>HYPERLINK("https://klasma.github.io/Logging_2417/kartor/A 20337-2019 karta.png", "A 20337-2019")</f>
        <v/>
      </c>
      <c r="V1098">
        <f>HYPERLINK("https://klasma.github.io/Logging_2417/klagomål/A 20337-2019 FSC-klagomål.docx", "A 20337-2019")</f>
        <v/>
      </c>
      <c r="W1098">
        <f>HYPERLINK("https://klasma.github.io/Logging_2417/klagomålsmail/A 20337-2019 FSC-klagomål mail.docx", "A 20337-2019")</f>
        <v/>
      </c>
      <c r="X1098">
        <f>HYPERLINK("https://klasma.github.io/Logging_2417/tillsyn/A 20337-2019 tillsynsbegäran.docx", "A 20337-2019")</f>
        <v/>
      </c>
      <c r="Y1098">
        <f>HYPERLINK("https://klasma.github.io/Logging_2417/tillsynsmail/A 20337-2019 tillsynsbegäran mail.docx", "A 20337-2019")</f>
        <v/>
      </c>
    </row>
    <row r="1099" ht="15" customHeight="1">
      <c r="A1099" t="inlineStr">
        <is>
          <t>A 20465-2019</t>
        </is>
      </c>
      <c r="B1099" s="1" t="n">
        <v>43572</v>
      </c>
      <c r="C1099" s="1" t="n">
        <v>45792</v>
      </c>
      <c r="D1099" t="inlineStr">
        <is>
          <t>VÄSTERBOTTENS LÄN</t>
        </is>
      </c>
      <c r="E1099" t="inlineStr">
        <is>
          <t>SKELLEFTEÅ</t>
        </is>
      </c>
      <c r="G1099" t="n">
        <v>2.1</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HYPERLINK("https://klasma.github.io/Logging_2482/artfynd/A 20465-2019 artfynd.xlsx", "A 20465-2019")</f>
        <v/>
      </c>
      <c r="T1099">
        <f>HYPERLINK("https://klasma.github.io/Logging_2482/kartor/A 20465-2019 karta.png", "A 20465-2019")</f>
        <v/>
      </c>
      <c r="V1099">
        <f>HYPERLINK("https://klasma.github.io/Logging_2482/klagomål/A 20465-2019 FSC-klagomål.docx", "A 20465-2019")</f>
        <v/>
      </c>
      <c r="W1099">
        <f>HYPERLINK("https://klasma.github.io/Logging_2482/klagomålsmail/A 20465-2019 FSC-klagomål mail.docx", "A 20465-2019")</f>
        <v/>
      </c>
      <c r="X1099">
        <f>HYPERLINK("https://klasma.github.io/Logging_2482/tillsyn/A 20465-2019 tillsynsbegäran.docx", "A 20465-2019")</f>
        <v/>
      </c>
      <c r="Y1099">
        <f>HYPERLINK("https://klasma.github.io/Logging_2482/tillsynsmail/A 20465-2019 tillsynsbegäran mail.docx", "A 20465-2019")</f>
        <v/>
      </c>
    </row>
    <row r="1100" ht="15" customHeight="1">
      <c r="A1100" t="inlineStr">
        <is>
          <t>A 23064-2019</t>
        </is>
      </c>
      <c r="B1100" s="1" t="n">
        <v>43591</v>
      </c>
      <c r="C1100" s="1" t="n">
        <v>45792</v>
      </c>
      <c r="D1100" t="inlineStr">
        <is>
          <t>VÄSTERBOTTENS LÄN</t>
        </is>
      </c>
      <c r="E1100" t="inlineStr">
        <is>
          <t>DOROTEA</t>
        </is>
      </c>
      <c r="G1100" t="n">
        <v>1.5</v>
      </c>
      <c r="H1100" t="n">
        <v>0</v>
      </c>
      <c r="I1100" t="n">
        <v>0</v>
      </c>
      <c r="J1100" t="n">
        <v>1</v>
      </c>
      <c r="K1100" t="n">
        <v>0</v>
      </c>
      <c r="L1100" t="n">
        <v>0</v>
      </c>
      <c r="M1100" t="n">
        <v>0</v>
      </c>
      <c r="N1100" t="n">
        <v>0</v>
      </c>
      <c r="O1100" t="n">
        <v>1</v>
      </c>
      <c r="P1100" t="n">
        <v>0</v>
      </c>
      <c r="Q1100" t="n">
        <v>1</v>
      </c>
      <c r="R1100" s="2" t="inlineStr">
        <is>
          <t>Garnlav</t>
        </is>
      </c>
      <c r="S1100">
        <f>HYPERLINK("https://klasma.github.io/Logging_2425/artfynd/A 23064-2019 artfynd.xlsx", "A 23064-2019")</f>
        <v/>
      </c>
      <c r="T1100">
        <f>HYPERLINK("https://klasma.github.io/Logging_2425/kartor/A 23064-2019 karta.png", "A 23064-2019")</f>
        <v/>
      </c>
      <c r="V1100">
        <f>HYPERLINK("https://klasma.github.io/Logging_2425/klagomål/A 23064-2019 FSC-klagomål.docx", "A 23064-2019")</f>
        <v/>
      </c>
      <c r="W1100">
        <f>HYPERLINK("https://klasma.github.io/Logging_2425/klagomålsmail/A 23064-2019 FSC-klagomål mail.docx", "A 23064-2019")</f>
        <v/>
      </c>
      <c r="X1100">
        <f>HYPERLINK("https://klasma.github.io/Logging_2425/tillsyn/A 23064-2019 tillsynsbegäran.docx", "A 23064-2019")</f>
        <v/>
      </c>
      <c r="Y1100">
        <f>HYPERLINK("https://klasma.github.io/Logging_2425/tillsynsmail/A 23064-2019 tillsynsbegäran mail.docx", "A 23064-2019")</f>
        <v/>
      </c>
    </row>
    <row r="1101" ht="15" customHeight="1">
      <c r="A1101" t="inlineStr">
        <is>
          <t>A 25651-2019</t>
        </is>
      </c>
      <c r="B1101" s="1" t="n">
        <v>43602</v>
      </c>
      <c r="C1101" s="1" t="n">
        <v>45792</v>
      </c>
      <c r="D1101" t="inlineStr">
        <is>
          <t>VÄSTERBOTTENS LÄN</t>
        </is>
      </c>
      <c r="E1101" t="inlineStr">
        <is>
          <t>SKELLEFTEÅ</t>
        </is>
      </c>
      <c r="G1101" t="n">
        <v>16.9</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HYPERLINK("https://klasma.github.io/Logging_2482/artfynd/A 25651-2019 artfynd.xlsx", "A 25651-2019")</f>
        <v/>
      </c>
      <c r="T1101">
        <f>HYPERLINK("https://klasma.github.io/Logging_2482/kartor/A 25651-2019 karta.png", "A 25651-2019")</f>
        <v/>
      </c>
      <c r="V1101">
        <f>HYPERLINK("https://klasma.github.io/Logging_2482/klagomål/A 25651-2019 FSC-klagomål.docx", "A 25651-2019")</f>
        <v/>
      </c>
      <c r="W1101">
        <f>HYPERLINK("https://klasma.github.io/Logging_2482/klagomålsmail/A 25651-2019 FSC-klagomål mail.docx", "A 25651-2019")</f>
        <v/>
      </c>
      <c r="X1101">
        <f>HYPERLINK("https://klasma.github.io/Logging_2482/tillsyn/A 25651-2019 tillsynsbegäran.docx", "A 25651-2019")</f>
        <v/>
      </c>
      <c r="Y1101">
        <f>HYPERLINK("https://klasma.github.io/Logging_2482/tillsynsmail/A 25651-2019 tillsynsbegäran mail.docx", "A 25651-2019")</f>
        <v/>
      </c>
    </row>
    <row r="1102" ht="15" customHeight="1">
      <c r="A1102" t="inlineStr">
        <is>
          <t>A 29650-2019</t>
        </is>
      </c>
      <c r="B1102" s="1" t="n">
        <v>43630</v>
      </c>
      <c r="C1102" s="1" t="n">
        <v>45792</v>
      </c>
      <c r="D1102" t="inlineStr">
        <is>
          <t>VÄSTERBOTTENS LÄN</t>
        </is>
      </c>
      <c r="E1102" t="inlineStr">
        <is>
          <t>VINDELN</t>
        </is>
      </c>
      <c r="F1102" t="inlineStr">
        <is>
          <t>Holmen skog AB</t>
        </is>
      </c>
      <c r="G1102" t="n">
        <v>12.6</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HYPERLINK("https://klasma.github.io/Logging_2404/artfynd/A 29650-2019 artfynd.xlsx", "A 29650-2019")</f>
        <v/>
      </c>
      <c r="T1102">
        <f>HYPERLINK("https://klasma.github.io/Logging_2404/kartor/A 29650-2019 karta.png", "A 29650-2019")</f>
        <v/>
      </c>
      <c r="V1102">
        <f>HYPERLINK("https://klasma.github.io/Logging_2404/klagomål/A 29650-2019 FSC-klagomål.docx", "A 29650-2019")</f>
        <v/>
      </c>
      <c r="W1102">
        <f>HYPERLINK("https://klasma.github.io/Logging_2404/klagomålsmail/A 29650-2019 FSC-klagomål mail.docx", "A 29650-2019")</f>
        <v/>
      </c>
      <c r="X1102">
        <f>HYPERLINK("https://klasma.github.io/Logging_2404/tillsyn/A 29650-2019 tillsynsbegäran.docx", "A 29650-2019")</f>
        <v/>
      </c>
      <c r="Y1102">
        <f>HYPERLINK("https://klasma.github.io/Logging_2404/tillsynsmail/A 29650-2019 tillsynsbegäran mail.docx", "A 29650-2019")</f>
        <v/>
      </c>
    </row>
    <row r="1103" ht="15" customHeight="1">
      <c r="A1103" t="inlineStr">
        <is>
          <t>A 31376-2019</t>
        </is>
      </c>
      <c r="B1103" s="1" t="n">
        <v>43636</v>
      </c>
      <c r="C1103" s="1" t="n">
        <v>45792</v>
      </c>
      <c r="D1103" t="inlineStr">
        <is>
          <t>VÄSTERBOTTENS LÄN</t>
        </is>
      </c>
      <c r="E1103" t="inlineStr">
        <is>
          <t>MALÅ</t>
        </is>
      </c>
      <c r="G1103" t="n">
        <v>9</v>
      </c>
      <c r="H1103" t="n">
        <v>1</v>
      </c>
      <c r="I1103" t="n">
        <v>0</v>
      </c>
      <c r="J1103" t="n">
        <v>1</v>
      </c>
      <c r="K1103" t="n">
        <v>0</v>
      </c>
      <c r="L1103" t="n">
        <v>0</v>
      </c>
      <c r="M1103" t="n">
        <v>0</v>
      </c>
      <c r="N1103" t="n">
        <v>0</v>
      </c>
      <c r="O1103" t="n">
        <v>1</v>
      </c>
      <c r="P1103" t="n">
        <v>0</v>
      </c>
      <c r="Q1103" t="n">
        <v>1</v>
      </c>
      <c r="R1103" s="2" t="inlineStr">
        <is>
          <t>Utter</t>
        </is>
      </c>
      <c r="S1103">
        <f>HYPERLINK("https://klasma.github.io/Logging_2418/artfynd/A 31376-2019 artfynd.xlsx", "A 31376-2019")</f>
        <v/>
      </c>
      <c r="T1103">
        <f>HYPERLINK("https://klasma.github.io/Logging_2418/kartor/A 31376-2019 karta.png", "A 31376-2019")</f>
        <v/>
      </c>
      <c r="V1103">
        <f>HYPERLINK("https://klasma.github.io/Logging_2418/klagomål/A 31376-2019 FSC-klagomål.docx", "A 31376-2019")</f>
        <v/>
      </c>
      <c r="W1103">
        <f>HYPERLINK("https://klasma.github.io/Logging_2418/klagomålsmail/A 31376-2019 FSC-klagomål mail.docx", "A 31376-2019")</f>
        <v/>
      </c>
      <c r="X1103">
        <f>HYPERLINK("https://klasma.github.io/Logging_2418/tillsyn/A 31376-2019 tillsynsbegäran.docx", "A 31376-2019")</f>
        <v/>
      </c>
      <c r="Y1103">
        <f>HYPERLINK("https://klasma.github.io/Logging_2418/tillsynsmail/A 31376-2019 tillsynsbegäran mail.docx", "A 31376-2019")</f>
        <v/>
      </c>
    </row>
    <row r="1104" ht="15" customHeight="1">
      <c r="A1104" t="inlineStr">
        <is>
          <t>A 32370-2019</t>
        </is>
      </c>
      <c r="B1104" s="1" t="n">
        <v>43636</v>
      </c>
      <c r="C1104" s="1" t="n">
        <v>45792</v>
      </c>
      <c r="D1104" t="inlineStr">
        <is>
          <t>VÄSTERBOTTENS LÄN</t>
        </is>
      </c>
      <c r="E1104" t="inlineStr">
        <is>
          <t>ÅSELE</t>
        </is>
      </c>
      <c r="F1104" t="inlineStr">
        <is>
          <t>Sveaskog</t>
        </is>
      </c>
      <c r="G1104" t="n">
        <v>19.4</v>
      </c>
      <c r="H1104" t="n">
        <v>0</v>
      </c>
      <c r="I1104" t="n">
        <v>0</v>
      </c>
      <c r="J1104" t="n">
        <v>1</v>
      </c>
      <c r="K1104" t="n">
        <v>0</v>
      </c>
      <c r="L1104" t="n">
        <v>0</v>
      </c>
      <c r="M1104" t="n">
        <v>0</v>
      </c>
      <c r="N1104" t="n">
        <v>0</v>
      </c>
      <c r="O1104" t="n">
        <v>1</v>
      </c>
      <c r="P1104" t="n">
        <v>0</v>
      </c>
      <c r="Q1104" t="n">
        <v>1</v>
      </c>
      <c r="R1104" s="2" t="inlineStr">
        <is>
          <t>Garnlav</t>
        </is>
      </c>
      <c r="S1104">
        <f>HYPERLINK("https://klasma.github.io/Logging_2463/artfynd/A 32370-2019 artfynd.xlsx", "A 32370-2019")</f>
        <v/>
      </c>
      <c r="T1104">
        <f>HYPERLINK("https://klasma.github.io/Logging_2463/kartor/A 32370-2019 karta.png", "A 32370-2019")</f>
        <v/>
      </c>
      <c r="V1104">
        <f>HYPERLINK("https://klasma.github.io/Logging_2463/klagomål/A 32370-2019 FSC-klagomål.docx", "A 32370-2019")</f>
        <v/>
      </c>
      <c r="W1104">
        <f>HYPERLINK("https://klasma.github.io/Logging_2463/klagomålsmail/A 32370-2019 FSC-klagomål mail.docx", "A 32370-2019")</f>
        <v/>
      </c>
      <c r="X1104">
        <f>HYPERLINK("https://klasma.github.io/Logging_2463/tillsyn/A 32370-2019 tillsynsbegäran.docx", "A 32370-2019")</f>
        <v/>
      </c>
      <c r="Y1104">
        <f>HYPERLINK("https://klasma.github.io/Logging_2463/tillsynsmail/A 32370-2019 tillsynsbegäran mail.docx", "A 32370-2019")</f>
        <v/>
      </c>
    </row>
    <row r="1105" ht="15" customHeight="1">
      <c r="A1105" t="inlineStr">
        <is>
          <t>A 32631-2019</t>
        </is>
      </c>
      <c r="B1105" s="1" t="n">
        <v>43647</v>
      </c>
      <c r="C1105" s="1" t="n">
        <v>45792</v>
      </c>
      <c r="D1105" t="inlineStr">
        <is>
          <t>VÄSTERBOTTENS LÄN</t>
        </is>
      </c>
      <c r="E1105" t="inlineStr">
        <is>
          <t>VINDELN</t>
        </is>
      </c>
      <c r="F1105" t="inlineStr">
        <is>
          <t>Sveaskog</t>
        </is>
      </c>
      <c r="G1105" t="n">
        <v>7.7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32631-2019 artfynd.xlsx", "A 32631-2019")</f>
        <v/>
      </c>
      <c r="T1105">
        <f>HYPERLINK("https://klasma.github.io/Logging_2404/kartor/A 32631-2019 karta.png", "A 32631-2019")</f>
        <v/>
      </c>
      <c r="V1105">
        <f>HYPERLINK("https://klasma.github.io/Logging_2404/klagomål/A 32631-2019 FSC-klagomål.docx", "A 32631-2019")</f>
        <v/>
      </c>
      <c r="W1105">
        <f>HYPERLINK("https://klasma.github.io/Logging_2404/klagomålsmail/A 32631-2019 FSC-klagomål mail.docx", "A 32631-2019")</f>
        <v/>
      </c>
      <c r="X1105">
        <f>HYPERLINK("https://klasma.github.io/Logging_2404/tillsyn/A 32631-2019 tillsynsbegäran.docx", "A 32631-2019")</f>
        <v/>
      </c>
      <c r="Y1105">
        <f>HYPERLINK("https://klasma.github.io/Logging_2404/tillsynsmail/A 32631-2019 tillsynsbegäran mail.docx", "A 32631-2019")</f>
        <v/>
      </c>
    </row>
    <row r="1106" ht="15" customHeight="1">
      <c r="A1106" t="inlineStr">
        <is>
          <t>A 34058-2019</t>
        </is>
      </c>
      <c r="B1106" s="1" t="n">
        <v>43654</v>
      </c>
      <c r="C1106" s="1" t="n">
        <v>45792</v>
      </c>
      <c r="D1106" t="inlineStr">
        <is>
          <t>VÄSTERBOTTENS LÄN</t>
        </is>
      </c>
      <c r="E1106" t="inlineStr">
        <is>
          <t>SORSELE</t>
        </is>
      </c>
      <c r="F1106" t="inlineStr">
        <is>
          <t>Sveaskog</t>
        </is>
      </c>
      <c r="G1106" t="n">
        <v>1.1</v>
      </c>
      <c r="H1106" t="n">
        <v>0</v>
      </c>
      <c r="I1106" t="n">
        <v>0</v>
      </c>
      <c r="J1106" t="n">
        <v>0</v>
      </c>
      <c r="K1106" t="n">
        <v>1</v>
      </c>
      <c r="L1106" t="n">
        <v>0</v>
      </c>
      <c r="M1106" t="n">
        <v>0</v>
      </c>
      <c r="N1106" t="n">
        <v>0</v>
      </c>
      <c r="O1106" t="n">
        <v>1</v>
      </c>
      <c r="P1106" t="n">
        <v>1</v>
      </c>
      <c r="Q1106" t="n">
        <v>1</v>
      </c>
      <c r="R1106" s="2" t="inlineStr">
        <is>
          <t>Rynkskinn</t>
        </is>
      </c>
      <c r="S1106">
        <f>HYPERLINK("https://klasma.github.io/Logging_2422/artfynd/A 34058-2019 artfynd.xlsx", "A 34058-2019")</f>
        <v/>
      </c>
      <c r="T1106">
        <f>HYPERLINK("https://klasma.github.io/Logging_2422/kartor/A 34058-2019 karta.png", "A 34058-2019")</f>
        <v/>
      </c>
      <c r="V1106">
        <f>HYPERLINK("https://klasma.github.io/Logging_2422/klagomål/A 34058-2019 FSC-klagomål.docx", "A 34058-2019")</f>
        <v/>
      </c>
      <c r="W1106">
        <f>HYPERLINK("https://klasma.github.io/Logging_2422/klagomålsmail/A 34058-2019 FSC-klagomål mail.docx", "A 34058-2019")</f>
        <v/>
      </c>
      <c r="X1106">
        <f>HYPERLINK("https://klasma.github.io/Logging_2422/tillsyn/A 34058-2019 tillsynsbegäran.docx", "A 34058-2019")</f>
        <v/>
      </c>
      <c r="Y1106">
        <f>HYPERLINK("https://klasma.github.io/Logging_2422/tillsynsmail/A 34058-2019 tillsynsbegäran mail.docx", "A 34058-2019")</f>
        <v/>
      </c>
    </row>
    <row r="1107" ht="15" customHeight="1">
      <c r="A1107" t="inlineStr">
        <is>
          <t>A 35565-2019</t>
        </is>
      </c>
      <c r="B1107" s="1" t="n">
        <v>43664</v>
      </c>
      <c r="C1107" s="1" t="n">
        <v>45792</v>
      </c>
      <c r="D1107" t="inlineStr">
        <is>
          <t>VÄSTERBOTTENS LÄN</t>
        </is>
      </c>
      <c r="E1107" t="inlineStr">
        <is>
          <t>ÅSELE</t>
        </is>
      </c>
      <c r="F1107" t="inlineStr">
        <is>
          <t>Sveaskog</t>
        </is>
      </c>
      <c r="G1107" t="n">
        <v>2.1</v>
      </c>
      <c r="H1107" t="n">
        <v>0</v>
      </c>
      <c r="I1107" t="n">
        <v>0</v>
      </c>
      <c r="J1107" t="n">
        <v>1</v>
      </c>
      <c r="K1107" t="n">
        <v>0</v>
      </c>
      <c r="L1107" t="n">
        <v>0</v>
      </c>
      <c r="M1107" t="n">
        <v>0</v>
      </c>
      <c r="N1107" t="n">
        <v>0</v>
      </c>
      <c r="O1107" t="n">
        <v>1</v>
      </c>
      <c r="P1107" t="n">
        <v>0</v>
      </c>
      <c r="Q1107" t="n">
        <v>1</v>
      </c>
      <c r="R1107" s="2" t="inlineStr">
        <is>
          <t>Vitgrynig nållav</t>
        </is>
      </c>
      <c r="S1107">
        <f>HYPERLINK("https://klasma.github.io/Logging_2463/artfynd/A 35565-2019 artfynd.xlsx", "A 35565-2019")</f>
        <v/>
      </c>
      <c r="T1107">
        <f>HYPERLINK("https://klasma.github.io/Logging_2463/kartor/A 35565-2019 karta.png", "A 35565-2019")</f>
        <v/>
      </c>
      <c r="V1107">
        <f>HYPERLINK("https://klasma.github.io/Logging_2463/klagomål/A 35565-2019 FSC-klagomål.docx", "A 35565-2019")</f>
        <v/>
      </c>
      <c r="W1107">
        <f>HYPERLINK("https://klasma.github.io/Logging_2463/klagomålsmail/A 35565-2019 FSC-klagomål mail.docx", "A 35565-2019")</f>
        <v/>
      </c>
      <c r="X1107">
        <f>HYPERLINK("https://klasma.github.io/Logging_2463/tillsyn/A 35565-2019 tillsynsbegäran.docx", "A 35565-2019")</f>
        <v/>
      </c>
      <c r="Y1107">
        <f>HYPERLINK("https://klasma.github.io/Logging_2463/tillsynsmail/A 35565-2019 tillsynsbegäran mail.docx", "A 35565-2019")</f>
        <v/>
      </c>
    </row>
    <row r="1108" ht="15" customHeight="1">
      <c r="A1108" t="inlineStr">
        <is>
          <t>A 36373-2019</t>
        </is>
      </c>
      <c r="B1108" s="1" t="n">
        <v>43670</v>
      </c>
      <c r="C1108" s="1" t="n">
        <v>45792</v>
      </c>
      <c r="D1108" t="inlineStr">
        <is>
          <t>VÄSTERBOTTENS LÄN</t>
        </is>
      </c>
      <c r="E1108" t="inlineStr">
        <is>
          <t>LYCKSELE</t>
        </is>
      </c>
      <c r="F1108" t="inlineStr">
        <is>
          <t>Sveaskog</t>
        </is>
      </c>
      <c r="G1108" t="n">
        <v>2</v>
      </c>
      <c r="H1108" t="n">
        <v>0</v>
      </c>
      <c r="I1108" t="n">
        <v>1</v>
      </c>
      <c r="J1108" t="n">
        <v>0</v>
      </c>
      <c r="K1108" t="n">
        <v>0</v>
      </c>
      <c r="L1108" t="n">
        <v>0</v>
      </c>
      <c r="M1108" t="n">
        <v>0</v>
      </c>
      <c r="N1108" t="n">
        <v>0</v>
      </c>
      <c r="O1108" t="n">
        <v>0</v>
      </c>
      <c r="P1108" t="n">
        <v>0</v>
      </c>
      <c r="Q1108" t="n">
        <v>1</v>
      </c>
      <c r="R1108" s="2" t="inlineStr">
        <is>
          <t>Stor aspticka</t>
        </is>
      </c>
      <c r="S1108">
        <f>HYPERLINK("https://klasma.github.io/Logging_2481/artfynd/A 36373-2019 artfynd.xlsx", "A 36373-2019")</f>
        <v/>
      </c>
      <c r="T1108">
        <f>HYPERLINK("https://klasma.github.io/Logging_2481/kartor/A 36373-2019 karta.png", "A 36373-2019")</f>
        <v/>
      </c>
      <c r="U1108">
        <f>HYPERLINK("https://klasma.github.io/Logging_2481/knärot/A 36373-2019 karta knärot.png", "A 36373-2019")</f>
        <v/>
      </c>
      <c r="V1108">
        <f>HYPERLINK("https://klasma.github.io/Logging_2481/klagomål/A 36373-2019 FSC-klagomål.docx", "A 36373-2019")</f>
        <v/>
      </c>
      <c r="W1108">
        <f>HYPERLINK("https://klasma.github.io/Logging_2481/klagomålsmail/A 36373-2019 FSC-klagomål mail.docx", "A 36373-2019")</f>
        <v/>
      </c>
      <c r="X1108">
        <f>HYPERLINK("https://klasma.github.io/Logging_2481/tillsyn/A 36373-2019 tillsynsbegäran.docx", "A 36373-2019")</f>
        <v/>
      </c>
      <c r="Y1108">
        <f>HYPERLINK("https://klasma.github.io/Logging_2481/tillsynsmail/A 36373-2019 tillsynsbegäran mail.docx", "A 36373-2019")</f>
        <v/>
      </c>
    </row>
    <row r="1109" ht="15" customHeight="1">
      <c r="A1109" t="inlineStr">
        <is>
          <t>A 39136-2019</t>
        </is>
      </c>
      <c r="B1109" s="1" t="n">
        <v>43689</v>
      </c>
      <c r="C1109" s="1" t="n">
        <v>45792</v>
      </c>
      <c r="D1109" t="inlineStr">
        <is>
          <t>VÄSTERBOTTENS LÄN</t>
        </is>
      </c>
      <c r="E1109" t="inlineStr">
        <is>
          <t>BJURHOLM</t>
        </is>
      </c>
      <c r="G1109" t="n">
        <v>2.2</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39136-2019 artfynd.xlsx", "A 39136-2019")</f>
        <v/>
      </c>
      <c r="T1109">
        <f>HYPERLINK("https://klasma.github.io/Logging_2403/kartor/A 39136-2019 karta.png", "A 39136-2019")</f>
        <v/>
      </c>
      <c r="V1109">
        <f>HYPERLINK("https://klasma.github.io/Logging_2403/klagomål/A 39136-2019 FSC-klagomål.docx", "A 39136-2019")</f>
        <v/>
      </c>
      <c r="W1109">
        <f>HYPERLINK("https://klasma.github.io/Logging_2403/klagomålsmail/A 39136-2019 FSC-klagomål mail.docx", "A 39136-2019")</f>
        <v/>
      </c>
      <c r="X1109">
        <f>HYPERLINK("https://klasma.github.io/Logging_2403/tillsyn/A 39136-2019 tillsynsbegäran.docx", "A 39136-2019")</f>
        <v/>
      </c>
      <c r="Y1109">
        <f>HYPERLINK("https://klasma.github.io/Logging_2403/tillsynsmail/A 39136-2019 tillsynsbegäran mail.docx", "A 39136-2019")</f>
        <v/>
      </c>
    </row>
    <row r="1110" ht="15" customHeight="1">
      <c r="A1110" t="inlineStr">
        <is>
          <t>A 46848-2019</t>
        </is>
      </c>
      <c r="B1110" s="1" t="n">
        <v>43719</v>
      </c>
      <c r="C1110" s="1" t="n">
        <v>45792</v>
      </c>
      <c r="D1110" t="inlineStr">
        <is>
          <t>VÄSTERBOTTENS LÄN</t>
        </is>
      </c>
      <c r="E1110" t="inlineStr">
        <is>
          <t>VINDELN</t>
        </is>
      </c>
      <c r="G1110" t="n">
        <v>5.2</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46848-2019 artfynd.xlsx", "A 46848-2019")</f>
        <v/>
      </c>
      <c r="T1110">
        <f>HYPERLINK("https://klasma.github.io/Logging_2404/kartor/A 46848-2019 karta.png", "A 46848-2019")</f>
        <v/>
      </c>
      <c r="V1110">
        <f>HYPERLINK("https://klasma.github.io/Logging_2404/klagomål/A 46848-2019 FSC-klagomål.docx", "A 46848-2019")</f>
        <v/>
      </c>
      <c r="W1110">
        <f>HYPERLINK("https://klasma.github.io/Logging_2404/klagomålsmail/A 46848-2019 FSC-klagomål mail.docx", "A 46848-2019")</f>
        <v/>
      </c>
      <c r="X1110">
        <f>HYPERLINK("https://klasma.github.io/Logging_2404/tillsyn/A 46848-2019 tillsynsbegäran.docx", "A 46848-2019")</f>
        <v/>
      </c>
      <c r="Y1110">
        <f>HYPERLINK("https://klasma.github.io/Logging_2404/tillsynsmail/A 46848-2019 tillsynsbegäran mail.docx", "A 46848-2019")</f>
        <v/>
      </c>
    </row>
    <row r="1111" ht="15" customHeight="1">
      <c r="A1111" t="inlineStr">
        <is>
          <t>A 49035-2019</t>
        </is>
      </c>
      <c r="B1111" s="1" t="n">
        <v>43731</v>
      </c>
      <c r="C1111" s="1" t="n">
        <v>45792</v>
      </c>
      <c r="D1111" t="inlineStr">
        <is>
          <t>VÄSTERBOTTENS LÄN</t>
        </is>
      </c>
      <c r="E1111" t="inlineStr">
        <is>
          <t>SKELLEFTEÅ</t>
        </is>
      </c>
      <c r="F1111" t="inlineStr">
        <is>
          <t>Kommuner</t>
        </is>
      </c>
      <c r="G1111" t="n">
        <v>1.4</v>
      </c>
      <c r="H1111" t="n">
        <v>1</v>
      </c>
      <c r="I1111" t="n">
        <v>0</v>
      </c>
      <c r="J1111" t="n">
        <v>0</v>
      </c>
      <c r="K1111" t="n">
        <v>0</v>
      </c>
      <c r="L1111" t="n">
        <v>0</v>
      </c>
      <c r="M1111" t="n">
        <v>0</v>
      </c>
      <c r="N1111" t="n">
        <v>0</v>
      </c>
      <c r="O1111" t="n">
        <v>0</v>
      </c>
      <c r="P1111" t="n">
        <v>0</v>
      </c>
      <c r="Q1111" t="n">
        <v>1</v>
      </c>
      <c r="R1111" s="2" t="inlineStr">
        <is>
          <t>Huggorm</t>
        </is>
      </c>
      <c r="S1111">
        <f>HYPERLINK("https://klasma.github.io/Logging_2482/artfynd/A 49035-2019 artfynd.xlsx", "A 49035-2019")</f>
        <v/>
      </c>
      <c r="T1111">
        <f>HYPERLINK("https://klasma.github.io/Logging_2482/kartor/A 49035-2019 karta.png", "A 49035-2019")</f>
        <v/>
      </c>
      <c r="V1111">
        <f>HYPERLINK("https://klasma.github.io/Logging_2482/klagomål/A 49035-2019 FSC-klagomål.docx", "A 49035-2019")</f>
        <v/>
      </c>
      <c r="W1111">
        <f>HYPERLINK("https://klasma.github.io/Logging_2482/klagomålsmail/A 49035-2019 FSC-klagomål mail.docx", "A 49035-2019")</f>
        <v/>
      </c>
      <c r="X1111">
        <f>HYPERLINK("https://klasma.github.io/Logging_2482/tillsyn/A 49035-2019 tillsynsbegäran.docx", "A 49035-2019")</f>
        <v/>
      </c>
      <c r="Y1111">
        <f>HYPERLINK("https://klasma.github.io/Logging_2482/tillsynsmail/A 49035-2019 tillsynsbegäran mail.docx", "A 49035-2019")</f>
        <v/>
      </c>
    </row>
    <row r="1112" ht="15" customHeight="1">
      <c r="A1112" t="inlineStr">
        <is>
          <t>A 51211-2019</t>
        </is>
      </c>
      <c r="B1112" s="1" t="n">
        <v>43739</v>
      </c>
      <c r="C1112" s="1" t="n">
        <v>45792</v>
      </c>
      <c r="D1112" t="inlineStr">
        <is>
          <t>VÄSTERBOTTENS LÄN</t>
        </is>
      </c>
      <c r="E1112" t="inlineStr">
        <is>
          <t>LYCKSELE</t>
        </is>
      </c>
      <c r="F1112" t="inlineStr">
        <is>
          <t>Kyrkan</t>
        </is>
      </c>
      <c r="G1112" t="n">
        <v>4.1</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HYPERLINK("https://klasma.github.io/Logging_2481/artfynd/A 51211-2019 artfynd.xlsx", "A 51211-2019")</f>
        <v/>
      </c>
      <c r="T1112">
        <f>HYPERLINK("https://klasma.github.io/Logging_2481/kartor/A 51211-2019 karta.png", "A 51211-2019")</f>
        <v/>
      </c>
      <c r="V1112">
        <f>HYPERLINK("https://klasma.github.io/Logging_2481/klagomål/A 51211-2019 FSC-klagomål.docx", "A 51211-2019")</f>
        <v/>
      </c>
      <c r="W1112">
        <f>HYPERLINK("https://klasma.github.io/Logging_2481/klagomålsmail/A 51211-2019 FSC-klagomål mail.docx", "A 51211-2019")</f>
        <v/>
      </c>
      <c r="X1112">
        <f>HYPERLINK("https://klasma.github.io/Logging_2481/tillsyn/A 51211-2019 tillsynsbegäran.docx", "A 51211-2019")</f>
        <v/>
      </c>
      <c r="Y1112">
        <f>HYPERLINK("https://klasma.github.io/Logging_2481/tillsynsmail/A 51211-2019 tillsynsbegäran mail.docx", "A 51211-2019")</f>
        <v/>
      </c>
    </row>
    <row r="1113" ht="15" customHeight="1">
      <c r="A1113" t="inlineStr">
        <is>
          <t>A 51461-2019</t>
        </is>
      </c>
      <c r="B1113" s="1" t="n">
        <v>43740</v>
      </c>
      <c r="C1113" s="1" t="n">
        <v>45792</v>
      </c>
      <c r="D1113" t="inlineStr">
        <is>
          <t>VÄSTERBOTTENS LÄN</t>
        </is>
      </c>
      <c r="E1113" t="inlineStr">
        <is>
          <t>SKELLEFTEÅ</t>
        </is>
      </c>
      <c r="F1113" t="inlineStr">
        <is>
          <t>Sveaskog</t>
        </is>
      </c>
      <c r="G1113" t="n">
        <v>12.2</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HYPERLINK("https://klasma.github.io/Logging_2482/artfynd/A 51461-2019 artfynd.xlsx", "A 51461-2019")</f>
        <v/>
      </c>
      <c r="T1113">
        <f>HYPERLINK("https://klasma.github.io/Logging_2482/kartor/A 51461-2019 karta.png", "A 51461-2019")</f>
        <v/>
      </c>
      <c r="V1113">
        <f>HYPERLINK("https://klasma.github.io/Logging_2482/klagomål/A 51461-2019 FSC-klagomål.docx", "A 51461-2019")</f>
        <v/>
      </c>
      <c r="W1113">
        <f>HYPERLINK("https://klasma.github.io/Logging_2482/klagomålsmail/A 51461-2019 FSC-klagomål mail.docx", "A 51461-2019")</f>
        <v/>
      </c>
      <c r="X1113">
        <f>HYPERLINK("https://klasma.github.io/Logging_2482/tillsyn/A 51461-2019 tillsynsbegäran.docx", "A 51461-2019")</f>
        <v/>
      </c>
      <c r="Y1113">
        <f>HYPERLINK("https://klasma.github.io/Logging_2482/tillsynsmail/A 51461-2019 tillsynsbegäran mail.docx", "A 51461-2019")</f>
        <v/>
      </c>
    </row>
    <row r="1114" ht="15" customHeight="1">
      <c r="A1114" t="inlineStr">
        <is>
          <t>A 51774-2019</t>
        </is>
      </c>
      <c r="B1114" s="1" t="n">
        <v>43741</v>
      </c>
      <c r="C1114" s="1" t="n">
        <v>45792</v>
      </c>
      <c r="D1114" t="inlineStr">
        <is>
          <t>VÄSTERBOTTENS LÄN</t>
        </is>
      </c>
      <c r="E1114" t="inlineStr">
        <is>
          <t>VILHELMINA</t>
        </is>
      </c>
      <c r="F1114" t="inlineStr">
        <is>
          <t>Allmännings- och besparingsskogar</t>
        </is>
      </c>
      <c r="G1114" t="n">
        <v>19.9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51774-2019 artfynd.xlsx", "A 51774-2019")</f>
        <v/>
      </c>
      <c r="T1114">
        <f>HYPERLINK("https://klasma.github.io/Logging_2462/kartor/A 51774-2019 karta.png", "A 51774-2019")</f>
        <v/>
      </c>
      <c r="V1114">
        <f>HYPERLINK("https://klasma.github.io/Logging_2462/klagomål/A 51774-2019 FSC-klagomål.docx", "A 51774-2019")</f>
        <v/>
      </c>
      <c r="W1114">
        <f>HYPERLINK("https://klasma.github.io/Logging_2462/klagomålsmail/A 51774-2019 FSC-klagomål mail.docx", "A 51774-2019")</f>
        <v/>
      </c>
      <c r="X1114">
        <f>HYPERLINK("https://klasma.github.io/Logging_2462/tillsyn/A 51774-2019 tillsynsbegäran.docx", "A 51774-2019")</f>
        <v/>
      </c>
      <c r="Y1114">
        <f>HYPERLINK("https://klasma.github.io/Logging_2462/tillsynsmail/A 51774-2019 tillsynsbegäran mail.docx", "A 51774-2019")</f>
        <v/>
      </c>
      <c r="Z1114">
        <f>HYPERLINK("https://klasma.github.io/Logging_2462/fåglar/A 51774-2019 prioriterade fågelarter.docx", "A 51774-2019")</f>
        <v/>
      </c>
    </row>
    <row r="1115" ht="15" customHeight="1">
      <c r="A1115" t="inlineStr">
        <is>
          <t>A 53745-2019</t>
        </is>
      </c>
      <c r="B1115" s="1" t="n">
        <v>43749</v>
      </c>
      <c r="C1115" s="1" t="n">
        <v>45792</v>
      </c>
      <c r="D1115" t="inlineStr">
        <is>
          <t>VÄSTERBOTTENS LÄN</t>
        </is>
      </c>
      <c r="E1115" t="inlineStr">
        <is>
          <t>UMEÅ</t>
        </is>
      </c>
      <c r="G1115" t="n">
        <v>1.9</v>
      </c>
      <c r="H1115" t="n">
        <v>0</v>
      </c>
      <c r="I1115" t="n">
        <v>1</v>
      </c>
      <c r="J1115" t="n">
        <v>0</v>
      </c>
      <c r="K1115" t="n">
        <v>0</v>
      </c>
      <c r="L1115" t="n">
        <v>0</v>
      </c>
      <c r="M1115" t="n">
        <v>0</v>
      </c>
      <c r="N1115" t="n">
        <v>0</v>
      </c>
      <c r="O1115" t="n">
        <v>0</v>
      </c>
      <c r="P1115" t="n">
        <v>0</v>
      </c>
      <c r="Q1115" t="n">
        <v>1</v>
      </c>
      <c r="R1115" s="2" t="inlineStr">
        <is>
          <t>Strutbräken</t>
        </is>
      </c>
      <c r="S1115">
        <f>HYPERLINK("https://klasma.github.io/Logging_2480/artfynd/A 53745-2019 artfynd.xlsx", "A 53745-2019")</f>
        <v/>
      </c>
      <c r="T1115">
        <f>HYPERLINK("https://klasma.github.io/Logging_2480/kartor/A 53745-2019 karta.png", "A 53745-2019")</f>
        <v/>
      </c>
      <c r="V1115">
        <f>HYPERLINK("https://klasma.github.io/Logging_2480/klagomål/A 53745-2019 FSC-klagomål.docx", "A 53745-2019")</f>
        <v/>
      </c>
      <c r="W1115">
        <f>HYPERLINK("https://klasma.github.io/Logging_2480/klagomålsmail/A 53745-2019 FSC-klagomål mail.docx", "A 53745-2019")</f>
        <v/>
      </c>
      <c r="X1115">
        <f>HYPERLINK("https://klasma.github.io/Logging_2480/tillsyn/A 53745-2019 tillsynsbegäran.docx", "A 53745-2019")</f>
        <v/>
      </c>
      <c r="Y1115">
        <f>HYPERLINK("https://klasma.github.io/Logging_2480/tillsynsmail/A 53745-2019 tillsynsbegäran mail.docx", "A 53745-2019")</f>
        <v/>
      </c>
    </row>
    <row r="1116" ht="15" customHeight="1">
      <c r="A1116" t="inlineStr">
        <is>
          <t>A 54215-2019</t>
        </is>
      </c>
      <c r="B1116" s="1" t="n">
        <v>43753</v>
      </c>
      <c r="C1116" s="1" t="n">
        <v>45792</v>
      </c>
      <c r="D1116" t="inlineStr">
        <is>
          <t>VÄSTERBOTTENS LÄN</t>
        </is>
      </c>
      <c r="E1116" t="inlineStr">
        <is>
          <t>BJURHOLM</t>
        </is>
      </c>
      <c r="F1116" t="inlineStr">
        <is>
          <t>Holmen skog AB</t>
        </is>
      </c>
      <c r="G1116" t="n">
        <v>2.6</v>
      </c>
      <c r="H1116" t="n">
        <v>1</v>
      </c>
      <c r="I1116" t="n">
        <v>0</v>
      </c>
      <c r="J1116" t="n">
        <v>0</v>
      </c>
      <c r="K1116" t="n">
        <v>1</v>
      </c>
      <c r="L1116" t="n">
        <v>0</v>
      </c>
      <c r="M1116" t="n">
        <v>0</v>
      </c>
      <c r="N1116" t="n">
        <v>0</v>
      </c>
      <c r="O1116" t="n">
        <v>1</v>
      </c>
      <c r="P1116" t="n">
        <v>1</v>
      </c>
      <c r="Q1116" t="n">
        <v>1</v>
      </c>
      <c r="R1116" s="2" t="inlineStr">
        <is>
          <t>Knärot</t>
        </is>
      </c>
      <c r="S1116">
        <f>HYPERLINK("https://klasma.github.io/Logging_2403/artfynd/A 54215-2019 artfynd.xlsx", "A 54215-2019")</f>
        <v/>
      </c>
      <c r="T1116">
        <f>HYPERLINK("https://klasma.github.io/Logging_2403/kartor/A 54215-2019 karta.png", "A 54215-2019")</f>
        <v/>
      </c>
      <c r="U1116">
        <f>HYPERLINK("https://klasma.github.io/Logging_2403/knärot/A 54215-2019 karta knärot.png", "A 54215-2019")</f>
        <v/>
      </c>
      <c r="V1116">
        <f>HYPERLINK("https://klasma.github.io/Logging_2403/klagomål/A 54215-2019 FSC-klagomål.docx", "A 54215-2019")</f>
        <v/>
      </c>
      <c r="W1116">
        <f>HYPERLINK("https://klasma.github.io/Logging_2403/klagomålsmail/A 54215-2019 FSC-klagomål mail.docx", "A 54215-2019")</f>
        <v/>
      </c>
      <c r="X1116">
        <f>HYPERLINK("https://klasma.github.io/Logging_2403/tillsyn/A 54215-2019 tillsynsbegäran.docx", "A 54215-2019")</f>
        <v/>
      </c>
      <c r="Y1116">
        <f>HYPERLINK("https://klasma.github.io/Logging_2403/tillsynsmail/A 54215-2019 tillsynsbegäran mail.docx", "A 54215-2019")</f>
        <v/>
      </c>
    </row>
    <row r="1117" ht="15" customHeight="1">
      <c r="A1117" t="inlineStr">
        <is>
          <t>A 56907-2019</t>
        </is>
      </c>
      <c r="B1117" s="1" t="n">
        <v>43766</v>
      </c>
      <c r="C1117" s="1" t="n">
        <v>45792</v>
      </c>
      <c r="D1117" t="inlineStr">
        <is>
          <t>VÄSTERBOTTENS LÄN</t>
        </is>
      </c>
      <c r="E1117" t="inlineStr">
        <is>
          <t>STORUMAN</t>
        </is>
      </c>
      <c r="F1117" t="inlineStr">
        <is>
          <t>Sveaskog</t>
        </is>
      </c>
      <c r="G1117" t="n">
        <v>2</v>
      </c>
      <c r="H1117" t="n">
        <v>0</v>
      </c>
      <c r="I1117" t="n">
        <v>1</v>
      </c>
      <c r="J1117" t="n">
        <v>0</v>
      </c>
      <c r="K1117" t="n">
        <v>0</v>
      </c>
      <c r="L1117" t="n">
        <v>0</v>
      </c>
      <c r="M1117" t="n">
        <v>0</v>
      </c>
      <c r="N1117" t="n">
        <v>0</v>
      </c>
      <c r="O1117" t="n">
        <v>0</v>
      </c>
      <c r="P1117" t="n">
        <v>0</v>
      </c>
      <c r="Q1117" t="n">
        <v>1</v>
      </c>
      <c r="R1117" s="2" t="inlineStr">
        <is>
          <t>Skinnlav</t>
        </is>
      </c>
      <c r="S1117">
        <f>HYPERLINK("https://klasma.github.io/Logging_2421/artfynd/A 56907-2019 artfynd.xlsx", "A 56907-2019")</f>
        <v/>
      </c>
      <c r="T1117">
        <f>HYPERLINK("https://klasma.github.io/Logging_2421/kartor/A 56907-2019 karta.png", "A 56907-2019")</f>
        <v/>
      </c>
      <c r="V1117">
        <f>HYPERLINK("https://klasma.github.io/Logging_2421/klagomål/A 56907-2019 FSC-klagomål.docx", "A 56907-2019")</f>
        <v/>
      </c>
      <c r="W1117">
        <f>HYPERLINK("https://klasma.github.io/Logging_2421/klagomålsmail/A 56907-2019 FSC-klagomål mail.docx", "A 56907-2019")</f>
        <v/>
      </c>
      <c r="X1117">
        <f>HYPERLINK("https://klasma.github.io/Logging_2421/tillsyn/A 56907-2019 tillsynsbegäran.docx", "A 56907-2019")</f>
        <v/>
      </c>
      <c r="Y1117">
        <f>HYPERLINK("https://klasma.github.io/Logging_2421/tillsynsmail/A 56907-2019 tillsynsbegäran mail.docx", "A 56907-2019")</f>
        <v/>
      </c>
    </row>
    <row r="1118" ht="15" customHeight="1">
      <c r="A1118" t="inlineStr">
        <is>
          <t>A 59249-2019</t>
        </is>
      </c>
      <c r="B1118" s="1" t="n">
        <v>43775</v>
      </c>
      <c r="C1118" s="1" t="n">
        <v>45792</v>
      </c>
      <c r="D1118" t="inlineStr">
        <is>
          <t>VÄSTERBOTTENS LÄN</t>
        </is>
      </c>
      <c r="E1118" t="inlineStr">
        <is>
          <t>STORUMAN</t>
        </is>
      </c>
      <c r="F1118" t="inlineStr">
        <is>
          <t>Sveaskog</t>
        </is>
      </c>
      <c r="G1118" t="n">
        <v>4.1</v>
      </c>
      <c r="H1118" t="n">
        <v>1</v>
      </c>
      <c r="I1118" t="n">
        <v>0</v>
      </c>
      <c r="J1118" t="n">
        <v>0</v>
      </c>
      <c r="K1118" t="n">
        <v>0</v>
      </c>
      <c r="L1118" t="n">
        <v>0</v>
      </c>
      <c r="M1118" t="n">
        <v>0</v>
      </c>
      <c r="N1118" t="n">
        <v>0</v>
      </c>
      <c r="O1118" t="n">
        <v>0</v>
      </c>
      <c r="P1118" t="n">
        <v>0</v>
      </c>
      <c r="Q1118" t="n">
        <v>1</v>
      </c>
      <c r="R1118" s="2" t="inlineStr">
        <is>
          <t>Tjäder</t>
        </is>
      </c>
      <c r="S1118">
        <f>HYPERLINK("https://klasma.github.io/Logging_2421/artfynd/A 59249-2019 artfynd.xlsx", "A 59249-2019")</f>
        <v/>
      </c>
      <c r="T1118">
        <f>HYPERLINK("https://klasma.github.io/Logging_2421/kartor/A 59249-2019 karta.png", "A 59249-2019")</f>
        <v/>
      </c>
      <c r="V1118">
        <f>HYPERLINK("https://klasma.github.io/Logging_2421/klagomål/A 59249-2019 FSC-klagomål.docx", "A 59249-2019")</f>
        <v/>
      </c>
      <c r="W1118">
        <f>HYPERLINK("https://klasma.github.io/Logging_2421/klagomålsmail/A 59249-2019 FSC-klagomål mail.docx", "A 59249-2019")</f>
        <v/>
      </c>
      <c r="X1118">
        <f>HYPERLINK("https://klasma.github.io/Logging_2421/tillsyn/A 59249-2019 tillsynsbegäran.docx", "A 59249-2019")</f>
        <v/>
      </c>
      <c r="Y1118">
        <f>HYPERLINK("https://klasma.github.io/Logging_2421/tillsynsmail/A 59249-2019 tillsynsbegäran mail.docx", "A 59249-2019")</f>
        <v/>
      </c>
      <c r="Z1118">
        <f>HYPERLINK("https://klasma.github.io/Logging_2421/fåglar/A 59249-2019 prioriterade fågelarter.docx", "A 59249-2019")</f>
        <v/>
      </c>
    </row>
    <row r="1119" ht="15" customHeight="1">
      <c r="A1119" t="inlineStr">
        <is>
          <t>A 59424-2019</t>
        </is>
      </c>
      <c r="B1119" s="1" t="n">
        <v>43775</v>
      </c>
      <c r="C1119" s="1" t="n">
        <v>45792</v>
      </c>
      <c r="D1119" t="inlineStr">
        <is>
          <t>VÄSTERBOTTENS LÄN</t>
        </is>
      </c>
      <c r="E1119" t="inlineStr">
        <is>
          <t>VILHELMINA</t>
        </is>
      </c>
      <c r="G1119" t="n">
        <v>17.4</v>
      </c>
      <c r="H1119" t="n">
        <v>0</v>
      </c>
      <c r="I1119" t="n">
        <v>0</v>
      </c>
      <c r="J1119" t="n">
        <v>1</v>
      </c>
      <c r="K1119" t="n">
        <v>0</v>
      </c>
      <c r="L1119" t="n">
        <v>0</v>
      </c>
      <c r="M1119" t="n">
        <v>0</v>
      </c>
      <c r="N1119" t="n">
        <v>0</v>
      </c>
      <c r="O1119" t="n">
        <v>1</v>
      </c>
      <c r="P1119" t="n">
        <v>0</v>
      </c>
      <c r="Q1119" t="n">
        <v>1</v>
      </c>
      <c r="R1119" s="2" t="inlineStr">
        <is>
          <t>Granticka</t>
        </is>
      </c>
      <c r="S1119">
        <f>HYPERLINK("https://klasma.github.io/Logging_2462/artfynd/A 59424-2019 artfynd.xlsx", "A 59424-2019")</f>
        <v/>
      </c>
      <c r="T1119">
        <f>HYPERLINK("https://klasma.github.io/Logging_2462/kartor/A 59424-2019 karta.png", "A 59424-2019")</f>
        <v/>
      </c>
      <c r="V1119">
        <f>HYPERLINK("https://klasma.github.io/Logging_2462/klagomål/A 59424-2019 FSC-klagomål.docx", "A 59424-2019")</f>
        <v/>
      </c>
      <c r="W1119">
        <f>HYPERLINK("https://klasma.github.io/Logging_2462/klagomålsmail/A 59424-2019 FSC-klagomål mail.docx", "A 59424-2019")</f>
        <v/>
      </c>
      <c r="X1119">
        <f>HYPERLINK("https://klasma.github.io/Logging_2462/tillsyn/A 59424-2019 tillsynsbegäran.docx", "A 59424-2019")</f>
        <v/>
      </c>
      <c r="Y1119">
        <f>HYPERLINK("https://klasma.github.io/Logging_2462/tillsynsmail/A 59424-2019 tillsynsbegäran mail.docx", "A 59424-2019")</f>
        <v/>
      </c>
    </row>
    <row r="1120" ht="15" customHeight="1">
      <c r="A1120" t="inlineStr">
        <is>
          <t>A 60563-2019</t>
        </is>
      </c>
      <c r="B1120" s="1" t="n">
        <v>43781</v>
      </c>
      <c r="C1120" s="1" t="n">
        <v>45792</v>
      </c>
      <c r="D1120" t="inlineStr">
        <is>
          <t>VÄSTERBOTTENS LÄN</t>
        </is>
      </c>
      <c r="E1120" t="inlineStr">
        <is>
          <t>LYCKSELE</t>
        </is>
      </c>
      <c r="F1120" t="inlineStr">
        <is>
          <t>Sveaskog</t>
        </is>
      </c>
      <c r="G1120" t="n">
        <v>25.1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60563-2019 artfynd.xlsx", "A 60563-2019")</f>
        <v/>
      </c>
      <c r="T1120">
        <f>HYPERLINK("https://klasma.github.io/Logging_2481/kartor/A 60563-2019 karta.png", "A 60563-2019")</f>
        <v/>
      </c>
      <c r="V1120">
        <f>HYPERLINK("https://klasma.github.io/Logging_2481/klagomål/A 60563-2019 FSC-klagomål.docx", "A 60563-2019")</f>
        <v/>
      </c>
      <c r="W1120">
        <f>HYPERLINK("https://klasma.github.io/Logging_2481/klagomålsmail/A 60563-2019 FSC-klagomål mail.docx", "A 60563-2019")</f>
        <v/>
      </c>
      <c r="X1120">
        <f>HYPERLINK("https://klasma.github.io/Logging_2481/tillsyn/A 60563-2019 tillsynsbegäran.docx", "A 60563-2019")</f>
        <v/>
      </c>
      <c r="Y1120">
        <f>HYPERLINK("https://klasma.github.io/Logging_2481/tillsynsmail/A 60563-2019 tillsynsbegäran mail.docx", "A 60563-2019")</f>
        <v/>
      </c>
    </row>
    <row r="1121" ht="15" customHeight="1">
      <c r="A1121" t="inlineStr">
        <is>
          <t>A 61542-2019</t>
        </is>
      </c>
      <c r="B1121" s="1" t="n">
        <v>43784</v>
      </c>
      <c r="C1121" s="1" t="n">
        <v>45792</v>
      </c>
      <c r="D1121" t="inlineStr">
        <is>
          <t>VÄSTERBOTTENS LÄN</t>
        </is>
      </c>
      <c r="E1121" t="inlineStr">
        <is>
          <t>NORSJÖ</t>
        </is>
      </c>
      <c r="F1121" t="inlineStr">
        <is>
          <t>Sveaskog</t>
        </is>
      </c>
      <c r="G1121" t="n">
        <v>31.1</v>
      </c>
      <c r="H1121" t="n">
        <v>0</v>
      </c>
      <c r="I1121" t="n">
        <v>0</v>
      </c>
      <c r="J1121" t="n">
        <v>1</v>
      </c>
      <c r="K1121" t="n">
        <v>0</v>
      </c>
      <c r="L1121" t="n">
        <v>0</v>
      </c>
      <c r="M1121" t="n">
        <v>0</v>
      </c>
      <c r="N1121" t="n">
        <v>0</v>
      </c>
      <c r="O1121" t="n">
        <v>1</v>
      </c>
      <c r="P1121" t="n">
        <v>0</v>
      </c>
      <c r="Q1121" t="n">
        <v>1</v>
      </c>
      <c r="R1121" s="2" t="inlineStr">
        <is>
          <t>Lunglav</t>
        </is>
      </c>
      <c r="S1121">
        <f>HYPERLINK("https://klasma.github.io/Logging_2417/artfynd/A 61542-2019 artfynd.xlsx", "A 61542-2019")</f>
        <v/>
      </c>
      <c r="T1121">
        <f>HYPERLINK("https://klasma.github.io/Logging_2417/kartor/A 61542-2019 karta.png", "A 61542-2019")</f>
        <v/>
      </c>
      <c r="V1121">
        <f>HYPERLINK("https://klasma.github.io/Logging_2417/klagomål/A 61542-2019 FSC-klagomål.docx", "A 61542-2019")</f>
        <v/>
      </c>
      <c r="W1121">
        <f>HYPERLINK("https://klasma.github.io/Logging_2417/klagomålsmail/A 61542-2019 FSC-klagomål mail.docx", "A 61542-2019")</f>
        <v/>
      </c>
      <c r="X1121">
        <f>HYPERLINK("https://klasma.github.io/Logging_2417/tillsyn/A 61542-2019 tillsynsbegäran.docx", "A 61542-2019")</f>
        <v/>
      </c>
      <c r="Y1121">
        <f>HYPERLINK("https://klasma.github.io/Logging_2417/tillsynsmail/A 61542-2019 tillsynsbegäran mail.docx", "A 61542-2019")</f>
        <v/>
      </c>
    </row>
    <row r="1122" ht="15" customHeight="1">
      <c r="A1122" t="inlineStr">
        <is>
          <t>A 63411-2019</t>
        </is>
      </c>
      <c r="B1122" s="1" t="n">
        <v>43787</v>
      </c>
      <c r="C1122" s="1" t="n">
        <v>45792</v>
      </c>
      <c r="D1122" t="inlineStr">
        <is>
          <t>VÄSTERBOTTENS LÄN</t>
        </is>
      </c>
      <c r="E1122" t="inlineStr">
        <is>
          <t>NORDMALING</t>
        </is>
      </c>
      <c r="F1122" t="inlineStr">
        <is>
          <t>SCA</t>
        </is>
      </c>
      <c r="G1122" t="n">
        <v>6.3</v>
      </c>
      <c r="H1122" t="n">
        <v>0</v>
      </c>
      <c r="I1122" t="n">
        <v>1</v>
      </c>
      <c r="J1122" t="n">
        <v>0</v>
      </c>
      <c r="K1122" t="n">
        <v>0</v>
      </c>
      <c r="L1122" t="n">
        <v>0</v>
      </c>
      <c r="M1122" t="n">
        <v>0</v>
      </c>
      <c r="N1122" t="n">
        <v>0</v>
      </c>
      <c r="O1122" t="n">
        <v>0</v>
      </c>
      <c r="P1122" t="n">
        <v>0</v>
      </c>
      <c r="Q1122" t="n">
        <v>1</v>
      </c>
      <c r="R1122" s="2" t="inlineStr">
        <is>
          <t>Jättesvampmal</t>
        </is>
      </c>
      <c r="S1122">
        <f>HYPERLINK("https://klasma.github.io/Logging_2401/artfynd/A 63411-2019 artfynd.xlsx", "A 63411-2019")</f>
        <v/>
      </c>
      <c r="T1122">
        <f>HYPERLINK("https://klasma.github.io/Logging_2401/kartor/A 63411-2019 karta.png", "A 63411-2019")</f>
        <v/>
      </c>
      <c r="V1122">
        <f>HYPERLINK("https://klasma.github.io/Logging_2401/klagomål/A 63411-2019 FSC-klagomål.docx", "A 63411-2019")</f>
        <v/>
      </c>
      <c r="W1122">
        <f>HYPERLINK("https://klasma.github.io/Logging_2401/klagomålsmail/A 63411-2019 FSC-klagomål mail.docx", "A 63411-2019")</f>
        <v/>
      </c>
      <c r="X1122">
        <f>HYPERLINK("https://klasma.github.io/Logging_2401/tillsyn/A 63411-2019 tillsynsbegäran.docx", "A 63411-2019")</f>
        <v/>
      </c>
      <c r="Y1122">
        <f>HYPERLINK("https://klasma.github.io/Logging_2401/tillsynsmail/A 63411-2019 tillsynsbegäran mail.docx", "A 63411-2019")</f>
        <v/>
      </c>
    </row>
    <row r="1123" ht="15" customHeight="1">
      <c r="A1123" t="inlineStr">
        <is>
          <t>A 63673-2019</t>
        </is>
      </c>
      <c r="B1123" s="1" t="n">
        <v>43789</v>
      </c>
      <c r="C1123" s="1" t="n">
        <v>45792</v>
      </c>
      <c r="D1123" t="inlineStr">
        <is>
          <t>VÄSTERBOTTENS LÄN</t>
        </is>
      </c>
      <c r="E1123" t="inlineStr">
        <is>
          <t>STORUMAN</t>
        </is>
      </c>
      <c r="G1123" t="n">
        <v>4.1</v>
      </c>
      <c r="H1123" t="n">
        <v>1</v>
      </c>
      <c r="I1123" t="n">
        <v>0</v>
      </c>
      <c r="J1123" t="n">
        <v>0</v>
      </c>
      <c r="K1123" t="n">
        <v>1</v>
      </c>
      <c r="L1123" t="n">
        <v>0</v>
      </c>
      <c r="M1123" t="n">
        <v>0</v>
      </c>
      <c r="N1123" t="n">
        <v>0</v>
      </c>
      <c r="O1123" t="n">
        <v>1</v>
      </c>
      <c r="P1123" t="n">
        <v>1</v>
      </c>
      <c r="Q1123" t="n">
        <v>1</v>
      </c>
      <c r="R1123" s="2" t="inlineStr">
        <is>
          <t>Doftticka</t>
        </is>
      </c>
      <c r="S1123">
        <f>HYPERLINK("https://klasma.github.io/Logging_2421/artfynd/A 63673-2019 artfynd.xlsx", "A 63673-2019")</f>
        <v/>
      </c>
      <c r="T1123">
        <f>HYPERLINK("https://klasma.github.io/Logging_2421/kartor/A 63673-2019 karta.png", "A 63673-2019")</f>
        <v/>
      </c>
      <c r="V1123">
        <f>HYPERLINK("https://klasma.github.io/Logging_2421/klagomål/A 63673-2019 FSC-klagomål.docx", "A 63673-2019")</f>
        <v/>
      </c>
      <c r="W1123">
        <f>HYPERLINK("https://klasma.github.io/Logging_2421/klagomålsmail/A 63673-2019 FSC-klagomål mail.docx", "A 63673-2019")</f>
        <v/>
      </c>
      <c r="X1123">
        <f>HYPERLINK("https://klasma.github.io/Logging_2421/tillsyn/A 63673-2019 tillsynsbegäran.docx", "A 63673-2019")</f>
        <v/>
      </c>
      <c r="Y1123">
        <f>HYPERLINK("https://klasma.github.io/Logging_2421/tillsynsmail/A 63673-2019 tillsynsbegäran mail.docx", "A 63673-2019")</f>
        <v/>
      </c>
    </row>
    <row r="1124" ht="15" customHeight="1">
      <c r="A1124" t="inlineStr">
        <is>
          <t>A 63709-2019</t>
        </is>
      </c>
      <c r="B1124" s="1" t="n">
        <v>43795</v>
      </c>
      <c r="C1124" s="1" t="n">
        <v>45792</v>
      </c>
      <c r="D1124" t="inlineStr">
        <is>
          <t>VÄSTERBOTTENS LÄN</t>
        </is>
      </c>
      <c r="E1124" t="inlineStr">
        <is>
          <t>SKELLEFTEÅ</t>
        </is>
      </c>
      <c r="F1124" t="inlineStr">
        <is>
          <t>Sveaskog</t>
        </is>
      </c>
      <c r="G1124" t="n">
        <v>39.7</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63709-2019 artfynd.xlsx", "A 63709-2019")</f>
        <v/>
      </c>
      <c r="T1124">
        <f>HYPERLINK("https://klasma.github.io/Logging_2482/kartor/A 63709-2019 karta.png", "A 63709-2019")</f>
        <v/>
      </c>
      <c r="V1124">
        <f>HYPERLINK("https://klasma.github.io/Logging_2482/klagomål/A 63709-2019 FSC-klagomål.docx", "A 63709-2019")</f>
        <v/>
      </c>
      <c r="W1124">
        <f>HYPERLINK("https://klasma.github.io/Logging_2482/klagomålsmail/A 63709-2019 FSC-klagomål mail.docx", "A 63709-2019")</f>
        <v/>
      </c>
      <c r="X1124">
        <f>HYPERLINK("https://klasma.github.io/Logging_2482/tillsyn/A 63709-2019 tillsynsbegäran.docx", "A 63709-2019")</f>
        <v/>
      </c>
      <c r="Y1124">
        <f>HYPERLINK("https://klasma.github.io/Logging_2482/tillsynsmail/A 63709-2019 tillsynsbegäran mail.docx", "A 63709-2019")</f>
        <v/>
      </c>
    </row>
    <row r="1125" ht="15" customHeight="1">
      <c r="A1125" t="inlineStr">
        <is>
          <t>A 65562-2019</t>
        </is>
      </c>
      <c r="B1125" s="1" t="n">
        <v>43803</v>
      </c>
      <c r="C1125" s="1" t="n">
        <v>45792</v>
      </c>
      <c r="D1125" t="inlineStr">
        <is>
          <t>VÄSTERBOTTENS LÄN</t>
        </is>
      </c>
      <c r="E1125" t="inlineStr">
        <is>
          <t>ÅSELE</t>
        </is>
      </c>
      <c r="F1125" t="inlineStr">
        <is>
          <t>SCA</t>
        </is>
      </c>
      <c r="G1125" t="n">
        <v>5.8</v>
      </c>
      <c r="H1125" t="n">
        <v>0</v>
      </c>
      <c r="I1125" t="n">
        <v>0</v>
      </c>
      <c r="J1125" t="n">
        <v>1</v>
      </c>
      <c r="K1125" t="n">
        <v>0</v>
      </c>
      <c r="L1125" t="n">
        <v>0</v>
      </c>
      <c r="M1125" t="n">
        <v>0</v>
      </c>
      <c r="N1125" t="n">
        <v>0</v>
      </c>
      <c r="O1125" t="n">
        <v>1</v>
      </c>
      <c r="P1125" t="n">
        <v>0</v>
      </c>
      <c r="Q1125" t="n">
        <v>1</v>
      </c>
      <c r="R1125" s="2" t="inlineStr">
        <is>
          <t>Rosenticka</t>
        </is>
      </c>
      <c r="S1125">
        <f>HYPERLINK("https://klasma.github.io/Logging_2463/artfynd/A 65562-2019 artfynd.xlsx", "A 65562-2019")</f>
        <v/>
      </c>
      <c r="T1125">
        <f>HYPERLINK("https://klasma.github.io/Logging_2463/kartor/A 65562-2019 karta.png", "A 65562-2019")</f>
        <v/>
      </c>
      <c r="V1125">
        <f>HYPERLINK("https://klasma.github.io/Logging_2463/klagomål/A 65562-2019 FSC-klagomål.docx", "A 65562-2019")</f>
        <v/>
      </c>
      <c r="W1125">
        <f>HYPERLINK("https://klasma.github.io/Logging_2463/klagomålsmail/A 65562-2019 FSC-klagomål mail.docx", "A 65562-2019")</f>
        <v/>
      </c>
      <c r="X1125">
        <f>HYPERLINK("https://klasma.github.io/Logging_2463/tillsyn/A 65562-2019 tillsynsbegäran.docx", "A 65562-2019")</f>
        <v/>
      </c>
      <c r="Y1125">
        <f>HYPERLINK("https://klasma.github.io/Logging_2463/tillsynsmail/A 65562-2019 tillsynsbegäran mail.docx", "A 65562-2019")</f>
        <v/>
      </c>
    </row>
    <row r="1126" ht="15" customHeight="1">
      <c r="A1126" t="inlineStr">
        <is>
          <t>A 67975-2019</t>
        </is>
      </c>
      <c r="B1126" s="1" t="n">
        <v>43816</v>
      </c>
      <c r="C1126" s="1" t="n">
        <v>45792</v>
      </c>
      <c r="D1126" t="inlineStr">
        <is>
          <t>VÄSTERBOTTENS LÄN</t>
        </is>
      </c>
      <c r="E1126" t="inlineStr">
        <is>
          <t>LYCKSELE</t>
        </is>
      </c>
      <c r="F1126" t="inlineStr">
        <is>
          <t>Sveaskog</t>
        </is>
      </c>
      <c r="G1126" t="n">
        <v>11.5</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67975-2019 artfynd.xlsx", "A 67975-2019")</f>
        <v/>
      </c>
      <c r="T1126">
        <f>HYPERLINK("https://klasma.github.io/Logging_2481/kartor/A 67975-2019 karta.png", "A 67975-2019")</f>
        <v/>
      </c>
      <c r="V1126">
        <f>HYPERLINK("https://klasma.github.io/Logging_2481/klagomål/A 67975-2019 FSC-klagomål.docx", "A 67975-2019")</f>
        <v/>
      </c>
      <c r="W1126">
        <f>HYPERLINK("https://klasma.github.io/Logging_2481/klagomålsmail/A 67975-2019 FSC-klagomål mail.docx", "A 67975-2019")</f>
        <v/>
      </c>
      <c r="X1126">
        <f>HYPERLINK("https://klasma.github.io/Logging_2481/tillsyn/A 67975-2019 tillsynsbegäran.docx", "A 67975-2019")</f>
        <v/>
      </c>
      <c r="Y1126">
        <f>HYPERLINK("https://klasma.github.io/Logging_2481/tillsynsmail/A 67975-2019 tillsynsbegäran mail.docx", "A 67975-2019")</f>
        <v/>
      </c>
    </row>
    <row r="1127" ht="15" customHeight="1">
      <c r="A1127" t="inlineStr">
        <is>
          <t>A 68098-2019</t>
        </is>
      </c>
      <c r="B1127" s="1" t="n">
        <v>43817</v>
      </c>
      <c r="C1127" s="1" t="n">
        <v>45792</v>
      </c>
      <c r="D1127" t="inlineStr">
        <is>
          <t>VÄSTERBOTTENS LÄN</t>
        </is>
      </c>
      <c r="E1127" t="inlineStr">
        <is>
          <t>LYCKSELE</t>
        </is>
      </c>
      <c r="F1127" t="inlineStr">
        <is>
          <t>Sveaskog</t>
        </is>
      </c>
      <c r="G1127" t="n">
        <v>5.1</v>
      </c>
      <c r="H1127" t="n">
        <v>0</v>
      </c>
      <c r="I1127" t="n">
        <v>0</v>
      </c>
      <c r="J1127" t="n">
        <v>1</v>
      </c>
      <c r="K1127" t="n">
        <v>0</v>
      </c>
      <c r="L1127" t="n">
        <v>0</v>
      </c>
      <c r="M1127" t="n">
        <v>0</v>
      </c>
      <c r="N1127" t="n">
        <v>0</v>
      </c>
      <c r="O1127" t="n">
        <v>1</v>
      </c>
      <c r="P1127" t="n">
        <v>0</v>
      </c>
      <c r="Q1127" t="n">
        <v>1</v>
      </c>
      <c r="R1127" s="2" t="inlineStr">
        <is>
          <t>Harticka</t>
        </is>
      </c>
      <c r="S1127">
        <f>HYPERLINK("https://klasma.github.io/Logging_2481/artfynd/A 68098-2019 artfynd.xlsx", "A 68098-2019")</f>
        <v/>
      </c>
      <c r="T1127">
        <f>HYPERLINK("https://klasma.github.io/Logging_2481/kartor/A 68098-2019 karta.png", "A 68098-2019")</f>
        <v/>
      </c>
      <c r="V1127">
        <f>HYPERLINK("https://klasma.github.io/Logging_2481/klagomål/A 68098-2019 FSC-klagomål.docx", "A 68098-2019")</f>
        <v/>
      </c>
      <c r="W1127">
        <f>HYPERLINK("https://klasma.github.io/Logging_2481/klagomålsmail/A 68098-2019 FSC-klagomål mail.docx", "A 68098-2019")</f>
        <v/>
      </c>
      <c r="X1127">
        <f>HYPERLINK("https://klasma.github.io/Logging_2481/tillsyn/A 68098-2019 tillsynsbegäran.docx", "A 68098-2019")</f>
        <v/>
      </c>
      <c r="Y1127">
        <f>HYPERLINK("https://klasma.github.io/Logging_2481/tillsynsmail/A 68098-2019 tillsynsbegäran mail.docx", "A 68098-2019")</f>
        <v/>
      </c>
    </row>
    <row r="1128" ht="15" customHeight="1">
      <c r="A1128" t="inlineStr">
        <is>
          <t>A 10-2020</t>
        </is>
      </c>
      <c r="B1128" s="1" t="n">
        <v>43831</v>
      </c>
      <c r="C1128" s="1" t="n">
        <v>45792</v>
      </c>
      <c r="D1128" t="inlineStr">
        <is>
          <t>VÄSTERBOTTENS LÄN</t>
        </is>
      </c>
      <c r="E1128" t="inlineStr">
        <is>
          <t>SORSELE</t>
        </is>
      </c>
      <c r="G1128" t="n">
        <v>2.3</v>
      </c>
      <c r="H1128" t="n">
        <v>1</v>
      </c>
      <c r="I1128" t="n">
        <v>0</v>
      </c>
      <c r="J1128" t="n">
        <v>0</v>
      </c>
      <c r="K1128" t="n">
        <v>0</v>
      </c>
      <c r="L1128" t="n">
        <v>0</v>
      </c>
      <c r="M1128" t="n">
        <v>0</v>
      </c>
      <c r="N1128" t="n">
        <v>0</v>
      </c>
      <c r="O1128" t="n">
        <v>0</v>
      </c>
      <c r="P1128" t="n">
        <v>0</v>
      </c>
      <c r="Q1128" t="n">
        <v>1</v>
      </c>
      <c r="R1128" s="2" t="inlineStr">
        <is>
          <t>Sångsvan</t>
        </is>
      </c>
      <c r="S1128">
        <f>HYPERLINK("https://klasma.github.io/Logging_2422/artfynd/A 10-2020 artfynd.xlsx", "A 10-2020")</f>
        <v/>
      </c>
      <c r="T1128">
        <f>HYPERLINK("https://klasma.github.io/Logging_2422/kartor/A 10-2020 karta.png", "A 10-2020")</f>
        <v/>
      </c>
      <c r="V1128">
        <f>HYPERLINK("https://klasma.github.io/Logging_2422/klagomål/A 10-2020 FSC-klagomål.docx", "A 10-2020")</f>
        <v/>
      </c>
      <c r="W1128">
        <f>HYPERLINK("https://klasma.github.io/Logging_2422/klagomålsmail/A 10-2020 FSC-klagomål mail.docx", "A 10-2020")</f>
        <v/>
      </c>
      <c r="X1128">
        <f>HYPERLINK("https://klasma.github.io/Logging_2422/tillsyn/A 10-2020 tillsynsbegäran.docx", "A 10-2020")</f>
        <v/>
      </c>
      <c r="Y1128">
        <f>HYPERLINK("https://klasma.github.io/Logging_2422/tillsynsmail/A 10-2020 tillsynsbegäran mail.docx", "A 10-2020")</f>
        <v/>
      </c>
      <c r="Z1128">
        <f>HYPERLINK("https://klasma.github.io/Logging_2422/fåglar/A 10-2020 prioriterade fågelarter.docx", "A 10-2020")</f>
        <v/>
      </c>
    </row>
    <row r="1129" ht="15" customHeight="1">
      <c r="A1129" t="inlineStr">
        <is>
          <t>A 220-2020</t>
        </is>
      </c>
      <c r="B1129" s="1" t="n">
        <v>43833</v>
      </c>
      <c r="C1129" s="1" t="n">
        <v>45792</v>
      </c>
      <c r="D1129" t="inlineStr">
        <is>
          <t>VÄSTERBOTTENS LÄN</t>
        </is>
      </c>
      <c r="E1129" t="inlineStr">
        <is>
          <t>VILHELMINA</t>
        </is>
      </c>
      <c r="F1129" t="inlineStr">
        <is>
          <t>SCA</t>
        </is>
      </c>
      <c r="G1129" t="n">
        <v>3.2</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220-2020 artfynd.xlsx", "A 220-2020")</f>
        <v/>
      </c>
      <c r="T1129">
        <f>HYPERLINK("https://klasma.github.io/Logging_2462/kartor/A 220-2020 karta.png", "A 220-2020")</f>
        <v/>
      </c>
      <c r="V1129">
        <f>HYPERLINK("https://klasma.github.io/Logging_2462/klagomål/A 220-2020 FSC-klagomål.docx", "A 220-2020")</f>
        <v/>
      </c>
      <c r="W1129">
        <f>HYPERLINK("https://klasma.github.io/Logging_2462/klagomålsmail/A 220-2020 FSC-klagomål mail.docx", "A 220-2020")</f>
        <v/>
      </c>
      <c r="X1129">
        <f>HYPERLINK("https://klasma.github.io/Logging_2462/tillsyn/A 220-2020 tillsynsbegäran.docx", "A 220-2020")</f>
        <v/>
      </c>
      <c r="Y1129">
        <f>HYPERLINK("https://klasma.github.io/Logging_2462/tillsynsmail/A 220-2020 tillsynsbegäran mail.docx", "A 220-2020")</f>
        <v/>
      </c>
    </row>
    <row r="1130" ht="15" customHeight="1">
      <c r="A1130" t="inlineStr">
        <is>
          <t>A 495-2020</t>
        </is>
      </c>
      <c r="B1130" s="1" t="n">
        <v>43837</v>
      </c>
      <c r="C1130" s="1" t="n">
        <v>45792</v>
      </c>
      <c r="D1130" t="inlineStr">
        <is>
          <t>VÄSTERBOTTENS LÄN</t>
        </is>
      </c>
      <c r="E1130" t="inlineStr">
        <is>
          <t>BJURHOLM</t>
        </is>
      </c>
      <c r="F1130" t="inlineStr">
        <is>
          <t>Sveaskog</t>
        </is>
      </c>
      <c r="G1130" t="n">
        <v>10.7</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495-2020 artfynd.xlsx", "A 495-2020")</f>
        <v/>
      </c>
      <c r="T1130">
        <f>HYPERLINK("https://klasma.github.io/Logging_2403/kartor/A 495-2020 karta.png", "A 495-2020")</f>
        <v/>
      </c>
      <c r="V1130">
        <f>HYPERLINK("https://klasma.github.io/Logging_2403/klagomål/A 495-2020 FSC-klagomål.docx", "A 495-2020")</f>
        <v/>
      </c>
      <c r="W1130">
        <f>HYPERLINK("https://klasma.github.io/Logging_2403/klagomålsmail/A 495-2020 FSC-klagomål mail.docx", "A 495-2020")</f>
        <v/>
      </c>
      <c r="X1130">
        <f>HYPERLINK("https://klasma.github.io/Logging_2403/tillsyn/A 495-2020 tillsynsbegäran.docx", "A 495-2020")</f>
        <v/>
      </c>
      <c r="Y1130">
        <f>HYPERLINK("https://klasma.github.io/Logging_2403/tillsynsmail/A 495-2020 tillsynsbegäran mail.docx", "A 495-2020")</f>
        <v/>
      </c>
    </row>
    <row r="1131" ht="15" customHeight="1">
      <c r="A1131" t="inlineStr">
        <is>
          <t>A 546-2020</t>
        </is>
      </c>
      <c r="B1131" s="1" t="n">
        <v>43837</v>
      </c>
      <c r="C1131" s="1" t="n">
        <v>45792</v>
      </c>
      <c r="D1131" t="inlineStr">
        <is>
          <t>VÄSTERBOTTENS LÄN</t>
        </is>
      </c>
      <c r="E1131" t="inlineStr">
        <is>
          <t>VILHELMINA</t>
        </is>
      </c>
      <c r="F1131" t="inlineStr">
        <is>
          <t>SCA</t>
        </is>
      </c>
      <c r="G1131" t="n">
        <v>3.1</v>
      </c>
      <c r="H1131" t="n">
        <v>0</v>
      </c>
      <c r="I1131" t="n">
        <v>0</v>
      </c>
      <c r="J1131" t="n">
        <v>1</v>
      </c>
      <c r="K1131" t="n">
        <v>0</v>
      </c>
      <c r="L1131" t="n">
        <v>0</v>
      </c>
      <c r="M1131" t="n">
        <v>0</v>
      </c>
      <c r="N1131" t="n">
        <v>0</v>
      </c>
      <c r="O1131" t="n">
        <v>1</v>
      </c>
      <c r="P1131" t="n">
        <v>0</v>
      </c>
      <c r="Q1131" t="n">
        <v>1</v>
      </c>
      <c r="R1131" s="2" t="inlineStr">
        <is>
          <t>Vedskivlav</t>
        </is>
      </c>
      <c r="S1131">
        <f>HYPERLINK("https://klasma.github.io/Logging_2462/artfynd/A 546-2020 artfynd.xlsx", "A 546-2020")</f>
        <v/>
      </c>
      <c r="T1131">
        <f>HYPERLINK("https://klasma.github.io/Logging_2462/kartor/A 546-2020 karta.png", "A 546-2020")</f>
        <v/>
      </c>
      <c r="V1131">
        <f>HYPERLINK("https://klasma.github.io/Logging_2462/klagomål/A 546-2020 FSC-klagomål.docx", "A 546-2020")</f>
        <v/>
      </c>
      <c r="W1131">
        <f>HYPERLINK("https://klasma.github.io/Logging_2462/klagomålsmail/A 546-2020 FSC-klagomål mail.docx", "A 546-2020")</f>
        <v/>
      </c>
      <c r="X1131">
        <f>HYPERLINK("https://klasma.github.io/Logging_2462/tillsyn/A 546-2020 tillsynsbegäran.docx", "A 546-2020")</f>
        <v/>
      </c>
      <c r="Y1131">
        <f>HYPERLINK("https://klasma.github.io/Logging_2462/tillsynsmail/A 546-2020 tillsynsbegäran mail.docx", "A 546-2020")</f>
        <v/>
      </c>
    </row>
    <row r="1132" ht="15" customHeight="1">
      <c r="A1132" t="inlineStr">
        <is>
          <t>A 1978-2020</t>
        </is>
      </c>
      <c r="B1132" s="1" t="n">
        <v>43838</v>
      </c>
      <c r="C1132" s="1" t="n">
        <v>45792</v>
      </c>
      <c r="D1132" t="inlineStr">
        <is>
          <t>VÄSTERBOTTENS LÄN</t>
        </is>
      </c>
      <c r="E1132" t="inlineStr">
        <is>
          <t>DOROTEA</t>
        </is>
      </c>
      <c r="G1132" t="n">
        <v>3.4</v>
      </c>
      <c r="H1132" t="n">
        <v>1</v>
      </c>
      <c r="I1132" t="n">
        <v>0</v>
      </c>
      <c r="J1132" t="n">
        <v>1</v>
      </c>
      <c r="K1132" t="n">
        <v>0</v>
      </c>
      <c r="L1132" t="n">
        <v>0</v>
      </c>
      <c r="M1132" t="n">
        <v>0</v>
      </c>
      <c r="N1132" t="n">
        <v>0</v>
      </c>
      <c r="O1132" t="n">
        <v>1</v>
      </c>
      <c r="P1132" t="n">
        <v>0</v>
      </c>
      <c r="Q1132" t="n">
        <v>1</v>
      </c>
      <c r="R1132" s="2" t="inlineStr">
        <is>
          <t>Rosenfink</t>
        </is>
      </c>
      <c r="S1132">
        <f>HYPERLINK("https://klasma.github.io/Logging_2425/artfynd/A 1978-2020 artfynd.xlsx", "A 1978-2020")</f>
        <v/>
      </c>
      <c r="T1132">
        <f>HYPERLINK("https://klasma.github.io/Logging_2425/kartor/A 1978-2020 karta.png", "A 1978-2020")</f>
        <v/>
      </c>
      <c r="V1132">
        <f>HYPERLINK("https://klasma.github.io/Logging_2425/klagomål/A 1978-2020 FSC-klagomål.docx", "A 1978-2020")</f>
        <v/>
      </c>
      <c r="W1132">
        <f>HYPERLINK("https://klasma.github.io/Logging_2425/klagomålsmail/A 1978-2020 FSC-klagomål mail.docx", "A 1978-2020")</f>
        <v/>
      </c>
      <c r="X1132">
        <f>HYPERLINK("https://klasma.github.io/Logging_2425/tillsyn/A 1978-2020 tillsynsbegäran.docx", "A 1978-2020")</f>
        <v/>
      </c>
      <c r="Y1132">
        <f>HYPERLINK("https://klasma.github.io/Logging_2425/tillsynsmail/A 1978-2020 tillsynsbegäran mail.docx", "A 1978-2020")</f>
        <v/>
      </c>
      <c r="Z1132">
        <f>HYPERLINK("https://klasma.github.io/Logging_2425/fåglar/A 1978-2020 prioriterade fågelarter.docx", "A 1978-2020")</f>
        <v/>
      </c>
    </row>
    <row r="1133" ht="15" customHeight="1">
      <c r="A1133" t="inlineStr">
        <is>
          <t>A 4439-2020</t>
        </is>
      </c>
      <c r="B1133" s="1" t="n">
        <v>43858</v>
      </c>
      <c r="C1133" s="1" t="n">
        <v>45792</v>
      </c>
      <c r="D1133" t="inlineStr">
        <is>
          <t>VÄSTERBOTTENS LÄN</t>
        </is>
      </c>
      <c r="E1133" t="inlineStr">
        <is>
          <t>SORSELE</t>
        </is>
      </c>
      <c r="F1133" t="inlineStr">
        <is>
          <t>Sveaskog</t>
        </is>
      </c>
      <c r="G1133" t="n">
        <v>7.5</v>
      </c>
      <c r="H1133" t="n">
        <v>0</v>
      </c>
      <c r="I1133" t="n">
        <v>0</v>
      </c>
      <c r="J1133" t="n">
        <v>0</v>
      </c>
      <c r="K1133" t="n">
        <v>1</v>
      </c>
      <c r="L1133" t="n">
        <v>0</v>
      </c>
      <c r="M1133" t="n">
        <v>0</v>
      </c>
      <c r="N1133" t="n">
        <v>0</v>
      </c>
      <c r="O1133" t="n">
        <v>1</v>
      </c>
      <c r="P1133" t="n">
        <v>1</v>
      </c>
      <c r="Q1133" t="n">
        <v>1</v>
      </c>
      <c r="R1133" s="2" t="inlineStr">
        <is>
          <t>Torrmusseron</t>
        </is>
      </c>
      <c r="S1133">
        <f>HYPERLINK("https://klasma.github.io/Logging_2422/artfynd/A 4439-2020 artfynd.xlsx", "A 4439-2020")</f>
        <v/>
      </c>
      <c r="T1133">
        <f>HYPERLINK("https://klasma.github.io/Logging_2422/kartor/A 4439-2020 karta.png", "A 4439-2020")</f>
        <v/>
      </c>
      <c r="V1133">
        <f>HYPERLINK("https://klasma.github.io/Logging_2422/klagomål/A 4439-2020 FSC-klagomål.docx", "A 4439-2020")</f>
        <v/>
      </c>
      <c r="W1133">
        <f>HYPERLINK("https://klasma.github.io/Logging_2422/klagomålsmail/A 4439-2020 FSC-klagomål mail.docx", "A 4439-2020")</f>
        <v/>
      </c>
      <c r="X1133">
        <f>HYPERLINK("https://klasma.github.io/Logging_2422/tillsyn/A 4439-2020 tillsynsbegäran.docx", "A 4439-2020")</f>
        <v/>
      </c>
      <c r="Y1133">
        <f>HYPERLINK("https://klasma.github.io/Logging_2422/tillsynsmail/A 4439-2020 tillsynsbegäran mail.docx", "A 4439-2020")</f>
        <v/>
      </c>
    </row>
    <row r="1134" ht="15" customHeight="1">
      <c r="A1134" t="inlineStr">
        <is>
          <t>A 5716-2020</t>
        </is>
      </c>
      <c r="B1134" s="1" t="n">
        <v>43862</v>
      </c>
      <c r="C1134" s="1" t="n">
        <v>45792</v>
      </c>
      <c r="D1134" t="inlineStr">
        <is>
          <t>VÄSTERBOTTENS LÄN</t>
        </is>
      </c>
      <c r="E1134" t="inlineStr">
        <is>
          <t>VINDELN</t>
        </is>
      </c>
      <c r="G1134" t="n">
        <v>9.6</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HYPERLINK("https://klasma.github.io/Logging_2404/artfynd/A 5716-2020 artfynd.xlsx", "A 5716-2020")</f>
        <v/>
      </c>
      <c r="T1134">
        <f>HYPERLINK("https://klasma.github.io/Logging_2404/kartor/A 5716-2020 karta.png", "A 5716-2020")</f>
        <v/>
      </c>
      <c r="V1134">
        <f>HYPERLINK("https://klasma.github.io/Logging_2404/klagomål/A 5716-2020 FSC-klagomål.docx", "A 5716-2020")</f>
        <v/>
      </c>
      <c r="W1134">
        <f>HYPERLINK("https://klasma.github.io/Logging_2404/klagomålsmail/A 5716-2020 FSC-klagomål mail.docx", "A 5716-2020")</f>
        <v/>
      </c>
      <c r="X1134">
        <f>HYPERLINK("https://klasma.github.io/Logging_2404/tillsyn/A 5716-2020 tillsynsbegäran.docx", "A 5716-2020")</f>
        <v/>
      </c>
      <c r="Y1134">
        <f>HYPERLINK("https://klasma.github.io/Logging_2404/tillsynsmail/A 5716-2020 tillsynsbegäran mail.docx", "A 5716-2020")</f>
        <v/>
      </c>
    </row>
    <row r="1135" ht="15" customHeight="1">
      <c r="A1135" t="inlineStr">
        <is>
          <t>A 5772-2020</t>
        </is>
      </c>
      <c r="B1135" s="1" t="n">
        <v>43864</v>
      </c>
      <c r="C1135" s="1" t="n">
        <v>45792</v>
      </c>
      <c r="D1135" t="inlineStr">
        <is>
          <t>VÄSTERBOTTENS LÄN</t>
        </is>
      </c>
      <c r="E1135" t="inlineStr">
        <is>
          <t>NORSJÖ</t>
        </is>
      </c>
      <c r="G1135" t="n">
        <v>2.7</v>
      </c>
      <c r="H1135" t="n">
        <v>1</v>
      </c>
      <c r="I1135" t="n">
        <v>0</v>
      </c>
      <c r="J1135" t="n">
        <v>1</v>
      </c>
      <c r="K1135" t="n">
        <v>0</v>
      </c>
      <c r="L1135" t="n">
        <v>0</v>
      </c>
      <c r="M1135" t="n">
        <v>0</v>
      </c>
      <c r="N1135" t="n">
        <v>0</v>
      </c>
      <c r="O1135" t="n">
        <v>1</v>
      </c>
      <c r="P1135" t="n">
        <v>0</v>
      </c>
      <c r="Q1135" t="n">
        <v>1</v>
      </c>
      <c r="R1135" s="2" t="inlineStr">
        <is>
          <t>Järpe</t>
        </is>
      </c>
      <c r="S1135">
        <f>HYPERLINK("https://klasma.github.io/Logging_2417/artfynd/A 5772-2020 artfynd.xlsx", "A 5772-2020")</f>
        <v/>
      </c>
      <c r="T1135">
        <f>HYPERLINK("https://klasma.github.io/Logging_2417/kartor/A 5772-2020 karta.png", "A 5772-2020")</f>
        <v/>
      </c>
      <c r="V1135">
        <f>HYPERLINK("https://klasma.github.io/Logging_2417/klagomål/A 5772-2020 FSC-klagomål.docx", "A 5772-2020")</f>
        <v/>
      </c>
      <c r="W1135">
        <f>HYPERLINK("https://klasma.github.io/Logging_2417/klagomålsmail/A 5772-2020 FSC-klagomål mail.docx", "A 5772-2020")</f>
        <v/>
      </c>
      <c r="X1135">
        <f>HYPERLINK("https://klasma.github.io/Logging_2417/tillsyn/A 5772-2020 tillsynsbegäran.docx", "A 5772-2020")</f>
        <v/>
      </c>
      <c r="Y1135">
        <f>HYPERLINK("https://klasma.github.io/Logging_2417/tillsynsmail/A 5772-2020 tillsynsbegäran mail.docx", "A 5772-2020")</f>
        <v/>
      </c>
      <c r="Z1135">
        <f>HYPERLINK("https://klasma.github.io/Logging_2417/fåglar/A 5772-2020 prioriterade fågelarter.docx", "A 5772-2020")</f>
        <v/>
      </c>
    </row>
    <row r="1136" ht="15" customHeight="1">
      <c r="A1136" t="inlineStr">
        <is>
          <t>A 7842-2020</t>
        </is>
      </c>
      <c r="B1136" s="1" t="n">
        <v>43873</v>
      </c>
      <c r="C1136" s="1" t="n">
        <v>45792</v>
      </c>
      <c r="D1136" t="inlineStr">
        <is>
          <t>VÄSTERBOTTENS LÄN</t>
        </is>
      </c>
      <c r="E1136" t="inlineStr">
        <is>
          <t>VÄNNÄS</t>
        </is>
      </c>
      <c r="G1136" t="n">
        <v>3</v>
      </c>
      <c r="H1136" t="n">
        <v>0</v>
      </c>
      <c r="I1136" t="n">
        <v>0</v>
      </c>
      <c r="J1136" t="n">
        <v>1</v>
      </c>
      <c r="K1136" t="n">
        <v>0</v>
      </c>
      <c r="L1136" t="n">
        <v>0</v>
      </c>
      <c r="M1136" t="n">
        <v>0</v>
      </c>
      <c r="N1136" t="n">
        <v>0</v>
      </c>
      <c r="O1136" t="n">
        <v>1</v>
      </c>
      <c r="P1136" t="n">
        <v>0</v>
      </c>
      <c r="Q1136" t="n">
        <v>1</v>
      </c>
      <c r="R1136" s="2" t="inlineStr">
        <is>
          <t>Garnlav</t>
        </is>
      </c>
      <c r="S1136">
        <f>HYPERLINK("https://klasma.github.io/Logging_2460/artfynd/A 7842-2020 artfynd.xlsx", "A 7842-2020")</f>
        <v/>
      </c>
      <c r="T1136">
        <f>HYPERLINK("https://klasma.github.io/Logging_2460/kartor/A 7842-2020 karta.png", "A 7842-2020")</f>
        <v/>
      </c>
      <c r="V1136">
        <f>HYPERLINK("https://klasma.github.io/Logging_2460/klagomål/A 7842-2020 FSC-klagomål.docx", "A 7842-2020")</f>
        <v/>
      </c>
      <c r="W1136">
        <f>HYPERLINK("https://klasma.github.io/Logging_2460/klagomålsmail/A 7842-2020 FSC-klagomål mail.docx", "A 7842-2020")</f>
        <v/>
      </c>
      <c r="X1136">
        <f>HYPERLINK("https://klasma.github.io/Logging_2460/tillsyn/A 7842-2020 tillsynsbegäran.docx", "A 7842-2020")</f>
        <v/>
      </c>
      <c r="Y1136">
        <f>HYPERLINK("https://klasma.github.io/Logging_2460/tillsynsmail/A 7842-2020 tillsynsbegäran mail.docx", "A 7842-2020")</f>
        <v/>
      </c>
    </row>
    <row r="1137" ht="15" customHeight="1">
      <c r="A1137" t="inlineStr">
        <is>
          <t>A 11922-2020</t>
        </is>
      </c>
      <c r="B1137" s="1" t="n">
        <v>43888</v>
      </c>
      <c r="C1137" s="1" t="n">
        <v>45792</v>
      </c>
      <c r="D1137" t="inlineStr">
        <is>
          <t>VÄSTERBOTTENS LÄN</t>
        </is>
      </c>
      <c r="E1137" t="inlineStr">
        <is>
          <t>ÅSELE</t>
        </is>
      </c>
      <c r="F1137" t="inlineStr">
        <is>
          <t>Övriga Aktiebolag</t>
        </is>
      </c>
      <c r="G1137" t="n">
        <v>3.2</v>
      </c>
      <c r="H1137" t="n">
        <v>0</v>
      </c>
      <c r="I1137" t="n">
        <v>0</v>
      </c>
      <c r="J1137" t="n">
        <v>1</v>
      </c>
      <c r="K1137" t="n">
        <v>0</v>
      </c>
      <c r="L1137" t="n">
        <v>0</v>
      </c>
      <c r="M1137" t="n">
        <v>0</v>
      </c>
      <c r="N1137" t="n">
        <v>0</v>
      </c>
      <c r="O1137" t="n">
        <v>1</v>
      </c>
      <c r="P1137" t="n">
        <v>0</v>
      </c>
      <c r="Q1137" t="n">
        <v>1</v>
      </c>
      <c r="R1137" s="2" t="inlineStr">
        <is>
          <t>Ullticka</t>
        </is>
      </c>
      <c r="S1137">
        <f>HYPERLINK("https://klasma.github.io/Logging_2463/artfynd/A 11922-2020 artfynd.xlsx", "A 11922-2020")</f>
        <v/>
      </c>
      <c r="T1137">
        <f>HYPERLINK("https://klasma.github.io/Logging_2463/kartor/A 11922-2020 karta.png", "A 11922-2020")</f>
        <v/>
      </c>
      <c r="V1137">
        <f>HYPERLINK("https://klasma.github.io/Logging_2463/klagomål/A 11922-2020 FSC-klagomål.docx", "A 11922-2020")</f>
        <v/>
      </c>
      <c r="W1137">
        <f>HYPERLINK("https://klasma.github.io/Logging_2463/klagomålsmail/A 11922-2020 FSC-klagomål mail.docx", "A 11922-2020")</f>
        <v/>
      </c>
      <c r="X1137">
        <f>HYPERLINK("https://klasma.github.io/Logging_2463/tillsyn/A 11922-2020 tillsynsbegäran.docx", "A 11922-2020")</f>
        <v/>
      </c>
      <c r="Y1137">
        <f>HYPERLINK("https://klasma.github.io/Logging_2463/tillsynsmail/A 11922-2020 tillsynsbegäran mail.docx", "A 11922-2020")</f>
        <v/>
      </c>
    </row>
    <row r="1138" ht="15" customHeight="1">
      <c r="A1138" t="inlineStr">
        <is>
          <t>A 13243-2020</t>
        </is>
      </c>
      <c r="B1138" s="1" t="n">
        <v>43901</v>
      </c>
      <c r="C1138" s="1" t="n">
        <v>45792</v>
      </c>
      <c r="D1138" t="inlineStr">
        <is>
          <t>VÄSTERBOTTENS LÄN</t>
        </is>
      </c>
      <c r="E1138" t="inlineStr">
        <is>
          <t>VÄNNÄS</t>
        </is>
      </c>
      <c r="G1138" t="n">
        <v>7.5</v>
      </c>
      <c r="H1138" t="n">
        <v>0</v>
      </c>
      <c r="I1138" t="n">
        <v>0</v>
      </c>
      <c r="J1138" t="n">
        <v>1</v>
      </c>
      <c r="K1138" t="n">
        <v>0</v>
      </c>
      <c r="L1138" t="n">
        <v>0</v>
      </c>
      <c r="M1138" t="n">
        <v>0</v>
      </c>
      <c r="N1138" t="n">
        <v>0</v>
      </c>
      <c r="O1138" t="n">
        <v>1</v>
      </c>
      <c r="P1138" t="n">
        <v>0</v>
      </c>
      <c r="Q1138" t="n">
        <v>1</v>
      </c>
      <c r="R1138" s="2" t="inlineStr">
        <is>
          <t>Ullticka</t>
        </is>
      </c>
      <c r="S1138">
        <f>HYPERLINK("https://klasma.github.io/Logging_2460/artfynd/A 13243-2020 artfynd.xlsx", "A 13243-2020")</f>
        <v/>
      </c>
      <c r="T1138">
        <f>HYPERLINK("https://klasma.github.io/Logging_2460/kartor/A 13243-2020 karta.png", "A 13243-2020")</f>
        <v/>
      </c>
      <c r="V1138">
        <f>HYPERLINK("https://klasma.github.io/Logging_2460/klagomål/A 13243-2020 FSC-klagomål.docx", "A 13243-2020")</f>
        <v/>
      </c>
      <c r="W1138">
        <f>HYPERLINK("https://klasma.github.io/Logging_2460/klagomålsmail/A 13243-2020 FSC-klagomål mail.docx", "A 13243-2020")</f>
        <v/>
      </c>
      <c r="X1138">
        <f>HYPERLINK("https://klasma.github.io/Logging_2460/tillsyn/A 13243-2020 tillsynsbegäran.docx", "A 13243-2020")</f>
        <v/>
      </c>
      <c r="Y1138">
        <f>HYPERLINK("https://klasma.github.io/Logging_2460/tillsynsmail/A 13243-2020 tillsynsbegäran mail.docx", "A 13243-2020")</f>
        <v/>
      </c>
    </row>
    <row r="1139" ht="15" customHeight="1">
      <c r="A1139" t="inlineStr">
        <is>
          <t>A 19592-2020</t>
        </is>
      </c>
      <c r="B1139" s="1" t="n">
        <v>43936</v>
      </c>
      <c r="C1139" s="1" t="n">
        <v>45792</v>
      </c>
      <c r="D1139" t="inlineStr">
        <is>
          <t>VÄSTERBOTTENS LÄN</t>
        </is>
      </c>
      <c r="E1139" t="inlineStr">
        <is>
          <t>ÅSELE</t>
        </is>
      </c>
      <c r="G1139" t="n">
        <v>4.5</v>
      </c>
      <c r="H1139" t="n">
        <v>0</v>
      </c>
      <c r="I1139" t="n">
        <v>1</v>
      </c>
      <c r="J1139" t="n">
        <v>0</v>
      </c>
      <c r="K1139" t="n">
        <v>0</v>
      </c>
      <c r="L1139" t="n">
        <v>0</v>
      </c>
      <c r="M1139" t="n">
        <v>0</v>
      </c>
      <c r="N1139" t="n">
        <v>0</v>
      </c>
      <c r="O1139" t="n">
        <v>0</v>
      </c>
      <c r="P1139" t="n">
        <v>0</v>
      </c>
      <c r="Q1139" t="n">
        <v>1</v>
      </c>
      <c r="R1139" s="2" t="inlineStr">
        <is>
          <t>Bronshjon</t>
        </is>
      </c>
      <c r="S1139">
        <f>HYPERLINK("https://klasma.github.io/Logging_2463/artfynd/A 19592-2020 artfynd.xlsx", "A 19592-2020")</f>
        <v/>
      </c>
      <c r="T1139">
        <f>HYPERLINK("https://klasma.github.io/Logging_2463/kartor/A 19592-2020 karta.png", "A 19592-2020")</f>
        <v/>
      </c>
      <c r="V1139">
        <f>HYPERLINK("https://klasma.github.io/Logging_2463/klagomål/A 19592-2020 FSC-klagomål.docx", "A 19592-2020")</f>
        <v/>
      </c>
      <c r="W1139">
        <f>HYPERLINK("https://klasma.github.io/Logging_2463/klagomålsmail/A 19592-2020 FSC-klagomål mail.docx", "A 19592-2020")</f>
        <v/>
      </c>
      <c r="X1139">
        <f>HYPERLINK("https://klasma.github.io/Logging_2463/tillsyn/A 19592-2020 tillsynsbegäran.docx", "A 19592-2020")</f>
        <v/>
      </c>
      <c r="Y1139">
        <f>HYPERLINK("https://klasma.github.io/Logging_2463/tillsynsmail/A 19592-2020 tillsynsbegäran mail.docx", "A 19592-2020")</f>
        <v/>
      </c>
    </row>
    <row r="1140" ht="15" customHeight="1">
      <c r="A1140" t="inlineStr">
        <is>
          <t>A 19295-2020</t>
        </is>
      </c>
      <c r="B1140" s="1" t="n">
        <v>43937</v>
      </c>
      <c r="C1140" s="1" t="n">
        <v>45792</v>
      </c>
      <c r="D1140" t="inlineStr">
        <is>
          <t>VÄSTERBOTTENS LÄN</t>
        </is>
      </c>
      <c r="E1140" t="inlineStr">
        <is>
          <t>BJURHOLM</t>
        </is>
      </c>
      <c r="G1140" t="n">
        <v>2.9</v>
      </c>
      <c r="H1140" t="n">
        <v>0</v>
      </c>
      <c r="I1140" t="n">
        <v>0</v>
      </c>
      <c r="J1140" t="n">
        <v>1</v>
      </c>
      <c r="K1140" t="n">
        <v>0</v>
      </c>
      <c r="L1140" t="n">
        <v>0</v>
      </c>
      <c r="M1140" t="n">
        <v>0</v>
      </c>
      <c r="N1140" t="n">
        <v>0</v>
      </c>
      <c r="O1140" t="n">
        <v>1</v>
      </c>
      <c r="P1140" t="n">
        <v>0</v>
      </c>
      <c r="Q1140" t="n">
        <v>1</v>
      </c>
      <c r="R1140" s="2" t="inlineStr">
        <is>
          <t>Ullticka</t>
        </is>
      </c>
      <c r="S1140">
        <f>HYPERLINK("https://klasma.github.io/Logging_2403/artfynd/A 19295-2020 artfynd.xlsx", "A 19295-2020")</f>
        <v/>
      </c>
      <c r="T1140">
        <f>HYPERLINK("https://klasma.github.io/Logging_2403/kartor/A 19295-2020 karta.png", "A 19295-2020")</f>
        <v/>
      </c>
      <c r="V1140">
        <f>HYPERLINK("https://klasma.github.io/Logging_2403/klagomål/A 19295-2020 FSC-klagomål.docx", "A 19295-2020")</f>
        <v/>
      </c>
      <c r="W1140">
        <f>HYPERLINK("https://klasma.github.io/Logging_2403/klagomålsmail/A 19295-2020 FSC-klagomål mail.docx", "A 19295-2020")</f>
        <v/>
      </c>
      <c r="X1140">
        <f>HYPERLINK("https://klasma.github.io/Logging_2403/tillsyn/A 19295-2020 tillsynsbegäran.docx", "A 19295-2020")</f>
        <v/>
      </c>
      <c r="Y1140">
        <f>HYPERLINK("https://klasma.github.io/Logging_2403/tillsynsmail/A 19295-2020 tillsynsbegäran mail.docx", "A 19295-2020")</f>
        <v/>
      </c>
    </row>
    <row r="1141" ht="15" customHeight="1">
      <c r="A1141" t="inlineStr">
        <is>
          <t>A 19687-2020</t>
        </is>
      </c>
      <c r="B1141" s="1" t="n">
        <v>43941</v>
      </c>
      <c r="C1141" s="1" t="n">
        <v>45792</v>
      </c>
      <c r="D1141" t="inlineStr">
        <is>
          <t>VÄSTERBOTTENS LÄN</t>
        </is>
      </c>
      <c r="E1141" t="inlineStr">
        <is>
          <t>VÄNNÄS</t>
        </is>
      </c>
      <c r="G1141" t="n">
        <v>5.8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HYPERLINK("https://klasma.github.io/Logging_2460/artfynd/A 19687-2020 artfynd.xlsx", "A 19687-2020")</f>
        <v/>
      </c>
      <c r="T1141">
        <f>HYPERLINK("https://klasma.github.io/Logging_2460/kartor/A 19687-2020 karta.png", "A 19687-2020")</f>
        <v/>
      </c>
      <c r="V1141">
        <f>HYPERLINK("https://klasma.github.io/Logging_2460/klagomål/A 19687-2020 FSC-klagomål.docx", "A 19687-2020")</f>
        <v/>
      </c>
      <c r="W1141">
        <f>HYPERLINK("https://klasma.github.io/Logging_2460/klagomålsmail/A 19687-2020 FSC-klagomål mail.docx", "A 19687-2020")</f>
        <v/>
      </c>
      <c r="X1141">
        <f>HYPERLINK("https://klasma.github.io/Logging_2460/tillsyn/A 19687-2020 tillsynsbegäran.docx", "A 19687-2020")</f>
        <v/>
      </c>
      <c r="Y1141">
        <f>HYPERLINK("https://klasma.github.io/Logging_2460/tillsynsmail/A 19687-2020 tillsynsbegäran mail.docx", "A 19687-2020")</f>
        <v/>
      </c>
      <c r="Z1141">
        <f>HYPERLINK("https://klasma.github.io/Logging_2460/fåglar/A 19687-2020 prioriterade fågelarter.docx", "A 19687-2020")</f>
        <v/>
      </c>
    </row>
    <row r="1142" ht="15" customHeight="1">
      <c r="A1142" t="inlineStr">
        <is>
          <t>A 23492-2020</t>
        </is>
      </c>
      <c r="B1142" s="1" t="n">
        <v>43966</v>
      </c>
      <c r="C1142" s="1" t="n">
        <v>45792</v>
      </c>
      <c r="D1142" t="inlineStr">
        <is>
          <t>VÄSTERBOTTENS LÄN</t>
        </is>
      </c>
      <c r="E1142" t="inlineStr">
        <is>
          <t>UMEÅ</t>
        </is>
      </c>
      <c r="G1142" t="n">
        <v>3</v>
      </c>
      <c r="H1142" t="n">
        <v>1</v>
      </c>
      <c r="I1142" t="n">
        <v>0</v>
      </c>
      <c r="J1142" t="n">
        <v>0</v>
      </c>
      <c r="K1142" t="n">
        <v>0</v>
      </c>
      <c r="L1142" t="n">
        <v>0</v>
      </c>
      <c r="M1142" t="n">
        <v>0</v>
      </c>
      <c r="N1142" t="n">
        <v>0</v>
      </c>
      <c r="O1142" t="n">
        <v>0</v>
      </c>
      <c r="P1142" t="n">
        <v>0</v>
      </c>
      <c r="Q1142" t="n">
        <v>1</v>
      </c>
      <c r="R1142" s="2" t="inlineStr">
        <is>
          <t>Vanlig padda</t>
        </is>
      </c>
      <c r="S1142">
        <f>HYPERLINK("https://klasma.github.io/Logging_2480/artfynd/A 23492-2020 artfynd.xlsx", "A 23492-2020")</f>
        <v/>
      </c>
      <c r="T1142">
        <f>HYPERLINK("https://klasma.github.io/Logging_2480/kartor/A 23492-2020 karta.png", "A 23492-2020")</f>
        <v/>
      </c>
      <c r="V1142">
        <f>HYPERLINK("https://klasma.github.io/Logging_2480/klagomål/A 23492-2020 FSC-klagomål.docx", "A 23492-2020")</f>
        <v/>
      </c>
      <c r="W1142">
        <f>HYPERLINK("https://klasma.github.io/Logging_2480/klagomålsmail/A 23492-2020 FSC-klagomål mail.docx", "A 23492-2020")</f>
        <v/>
      </c>
      <c r="X1142">
        <f>HYPERLINK("https://klasma.github.io/Logging_2480/tillsyn/A 23492-2020 tillsynsbegäran.docx", "A 23492-2020")</f>
        <v/>
      </c>
      <c r="Y1142">
        <f>HYPERLINK("https://klasma.github.io/Logging_2480/tillsynsmail/A 23492-2020 tillsynsbegäran mail.docx", "A 23492-2020")</f>
        <v/>
      </c>
    </row>
    <row r="1143" ht="15" customHeight="1">
      <c r="A1143" t="inlineStr">
        <is>
          <t>A 28098-2020</t>
        </is>
      </c>
      <c r="B1143" s="1" t="n">
        <v>43997</v>
      </c>
      <c r="C1143" s="1" t="n">
        <v>45792</v>
      </c>
      <c r="D1143" t="inlineStr">
        <is>
          <t>VÄSTERBOTTENS LÄN</t>
        </is>
      </c>
      <c r="E1143" t="inlineStr">
        <is>
          <t>LYCKSELE</t>
        </is>
      </c>
      <c r="F1143" t="inlineStr">
        <is>
          <t>Kyrkan</t>
        </is>
      </c>
      <c r="G1143" t="n">
        <v>6.4</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HYPERLINK("https://klasma.github.io/Logging_2481/artfynd/A 28098-2020 artfynd.xlsx", "A 28098-2020")</f>
        <v/>
      </c>
      <c r="T1143">
        <f>HYPERLINK("https://klasma.github.io/Logging_2481/kartor/A 28098-2020 karta.png", "A 28098-2020")</f>
        <v/>
      </c>
      <c r="V1143">
        <f>HYPERLINK("https://klasma.github.io/Logging_2481/klagomål/A 28098-2020 FSC-klagomål.docx", "A 28098-2020")</f>
        <v/>
      </c>
      <c r="W1143">
        <f>HYPERLINK("https://klasma.github.io/Logging_2481/klagomålsmail/A 28098-2020 FSC-klagomål mail.docx", "A 28098-2020")</f>
        <v/>
      </c>
      <c r="X1143">
        <f>HYPERLINK("https://klasma.github.io/Logging_2481/tillsyn/A 28098-2020 tillsynsbegäran.docx", "A 28098-2020")</f>
        <v/>
      </c>
      <c r="Y1143">
        <f>HYPERLINK("https://klasma.github.io/Logging_2481/tillsynsmail/A 28098-2020 tillsynsbegäran mail.docx", "A 28098-2020")</f>
        <v/>
      </c>
    </row>
    <row r="1144" ht="15" customHeight="1">
      <c r="A1144" t="inlineStr">
        <is>
          <t>A 33236-2020</t>
        </is>
      </c>
      <c r="B1144" s="1" t="n">
        <v>44022</v>
      </c>
      <c r="C1144" s="1" t="n">
        <v>45792</v>
      </c>
      <c r="D1144" t="inlineStr">
        <is>
          <t>VÄSTERBOTTENS LÄN</t>
        </is>
      </c>
      <c r="E1144" t="inlineStr">
        <is>
          <t>ROBERTSFORS</t>
        </is>
      </c>
      <c r="F1144" t="inlineStr">
        <is>
          <t>Holmen skog AB</t>
        </is>
      </c>
      <c r="G1144" t="n">
        <v>8.800000000000001</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33236-2020 artfynd.xlsx", "A 33236-2020")</f>
        <v/>
      </c>
      <c r="T1144">
        <f>HYPERLINK("https://klasma.github.io/Logging_2409/kartor/A 33236-2020 karta.png", "A 33236-2020")</f>
        <v/>
      </c>
      <c r="V1144">
        <f>HYPERLINK("https://klasma.github.io/Logging_2409/klagomål/A 33236-2020 FSC-klagomål.docx", "A 33236-2020")</f>
        <v/>
      </c>
      <c r="W1144">
        <f>HYPERLINK("https://klasma.github.io/Logging_2409/klagomålsmail/A 33236-2020 FSC-klagomål mail.docx", "A 33236-2020")</f>
        <v/>
      </c>
      <c r="X1144">
        <f>HYPERLINK("https://klasma.github.io/Logging_2409/tillsyn/A 33236-2020 tillsynsbegäran.docx", "A 33236-2020")</f>
        <v/>
      </c>
      <c r="Y1144">
        <f>HYPERLINK("https://klasma.github.io/Logging_2409/tillsynsmail/A 33236-2020 tillsynsbegäran mail.docx", "A 33236-2020")</f>
        <v/>
      </c>
    </row>
    <row r="1145" ht="15" customHeight="1">
      <c r="A1145" t="inlineStr">
        <is>
          <t>A 40662-2020</t>
        </is>
      </c>
      <c r="B1145" s="1" t="n">
        <v>44069</v>
      </c>
      <c r="C1145" s="1" t="n">
        <v>45792</v>
      </c>
      <c r="D1145" t="inlineStr">
        <is>
          <t>VÄSTERBOTTENS LÄN</t>
        </is>
      </c>
      <c r="E1145" t="inlineStr">
        <is>
          <t>STORUMAN</t>
        </is>
      </c>
      <c r="G1145" t="n">
        <v>1.7</v>
      </c>
      <c r="H1145" t="n">
        <v>1</v>
      </c>
      <c r="I1145" t="n">
        <v>0</v>
      </c>
      <c r="J1145" t="n">
        <v>0</v>
      </c>
      <c r="K1145" t="n">
        <v>0</v>
      </c>
      <c r="L1145" t="n">
        <v>0</v>
      </c>
      <c r="M1145" t="n">
        <v>0</v>
      </c>
      <c r="N1145" t="n">
        <v>0</v>
      </c>
      <c r="O1145" t="n">
        <v>0</v>
      </c>
      <c r="P1145" t="n">
        <v>0</v>
      </c>
      <c r="Q1145" t="n">
        <v>1</v>
      </c>
      <c r="R1145" s="2" t="inlineStr">
        <is>
          <t>Lavskrika</t>
        </is>
      </c>
      <c r="S1145">
        <f>HYPERLINK("https://klasma.github.io/Logging_2421/artfynd/A 40662-2020 artfynd.xlsx", "A 40662-2020")</f>
        <v/>
      </c>
      <c r="T1145">
        <f>HYPERLINK("https://klasma.github.io/Logging_2421/kartor/A 40662-2020 karta.png", "A 40662-2020")</f>
        <v/>
      </c>
      <c r="V1145">
        <f>HYPERLINK("https://klasma.github.io/Logging_2421/klagomål/A 40662-2020 FSC-klagomål.docx", "A 40662-2020")</f>
        <v/>
      </c>
      <c r="W1145">
        <f>HYPERLINK("https://klasma.github.io/Logging_2421/klagomålsmail/A 40662-2020 FSC-klagomål mail.docx", "A 40662-2020")</f>
        <v/>
      </c>
      <c r="X1145">
        <f>HYPERLINK("https://klasma.github.io/Logging_2421/tillsyn/A 40662-2020 tillsynsbegäran.docx", "A 40662-2020")</f>
        <v/>
      </c>
      <c r="Y1145">
        <f>HYPERLINK("https://klasma.github.io/Logging_2421/tillsynsmail/A 40662-2020 tillsynsbegäran mail.docx", "A 40662-2020")</f>
        <v/>
      </c>
      <c r="Z1145">
        <f>HYPERLINK("https://klasma.github.io/Logging_2421/fåglar/A 40662-2020 prioriterade fågelarter.docx", "A 40662-2020")</f>
        <v/>
      </c>
    </row>
    <row r="1146" ht="15" customHeight="1">
      <c r="A1146" t="inlineStr">
        <is>
          <t>A 43180-2020</t>
        </is>
      </c>
      <c r="B1146" s="1" t="n">
        <v>44076</v>
      </c>
      <c r="C1146" s="1" t="n">
        <v>45792</v>
      </c>
      <c r="D1146" t="inlineStr">
        <is>
          <t>VÄSTERBOTTENS LÄN</t>
        </is>
      </c>
      <c r="E1146" t="inlineStr">
        <is>
          <t>SKELLEFTEÅ</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43180-2020 artfynd.xlsx", "A 43180-2020")</f>
        <v/>
      </c>
      <c r="T1146">
        <f>HYPERLINK("https://klasma.github.io/Logging_2482/kartor/A 43180-2020 karta.png", "A 43180-2020")</f>
        <v/>
      </c>
      <c r="V1146">
        <f>HYPERLINK("https://klasma.github.io/Logging_2482/klagomål/A 43180-2020 FSC-klagomål.docx", "A 43180-2020")</f>
        <v/>
      </c>
      <c r="W1146">
        <f>HYPERLINK("https://klasma.github.io/Logging_2482/klagomålsmail/A 43180-2020 FSC-klagomål mail.docx", "A 43180-2020")</f>
        <v/>
      </c>
      <c r="X1146">
        <f>HYPERLINK("https://klasma.github.io/Logging_2482/tillsyn/A 43180-2020 tillsynsbegäran.docx", "A 43180-2020")</f>
        <v/>
      </c>
      <c r="Y1146">
        <f>HYPERLINK("https://klasma.github.io/Logging_2482/tillsynsmail/A 43180-2020 tillsynsbegäran mail.docx", "A 43180-2020")</f>
        <v/>
      </c>
    </row>
    <row r="1147" ht="15" customHeight="1">
      <c r="A1147" t="inlineStr">
        <is>
          <t>A 42794-2020</t>
        </is>
      </c>
      <c r="B1147" s="1" t="n">
        <v>44078</v>
      </c>
      <c r="C1147" s="1" t="n">
        <v>45792</v>
      </c>
      <c r="D1147" t="inlineStr">
        <is>
          <t>VÄSTERBOTTENS LÄN</t>
        </is>
      </c>
      <c r="E1147" t="inlineStr">
        <is>
          <t>SKELLEFTEÅ</t>
        </is>
      </c>
      <c r="F1147" t="inlineStr">
        <is>
          <t>Kommuner</t>
        </is>
      </c>
      <c r="G1147" t="n">
        <v>3.4</v>
      </c>
      <c r="H1147" t="n">
        <v>0</v>
      </c>
      <c r="I1147" t="n">
        <v>0</v>
      </c>
      <c r="J1147" t="n">
        <v>1</v>
      </c>
      <c r="K1147" t="n">
        <v>0</v>
      </c>
      <c r="L1147" t="n">
        <v>0</v>
      </c>
      <c r="M1147" t="n">
        <v>0</v>
      </c>
      <c r="N1147" t="n">
        <v>0</v>
      </c>
      <c r="O1147" t="n">
        <v>1</v>
      </c>
      <c r="P1147" t="n">
        <v>0</v>
      </c>
      <c r="Q1147" t="n">
        <v>1</v>
      </c>
      <c r="R1147" s="2" t="inlineStr">
        <is>
          <t>Motaggsvamp</t>
        </is>
      </c>
      <c r="S1147">
        <f>HYPERLINK("https://klasma.github.io/Logging_2482/artfynd/A 42794-2020 artfynd.xlsx", "A 42794-2020")</f>
        <v/>
      </c>
      <c r="T1147">
        <f>HYPERLINK("https://klasma.github.io/Logging_2482/kartor/A 42794-2020 karta.png", "A 42794-2020")</f>
        <v/>
      </c>
      <c r="V1147">
        <f>HYPERLINK("https://klasma.github.io/Logging_2482/klagomål/A 42794-2020 FSC-klagomål.docx", "A 42794-2020")</f>
        <v/>
      </c>
      <c r="W1147">
        <f>HYPERLINK("https://klasma.github.io/Logging_2482/klagomålsmail/A 42794-2020 FSC-klagomål mail.docx", "A 42794-2020")</f>
        <v/>
      </c>
      <c r="X1147">
        <f>HYPERLINK("https://klasma.github.io/Logging_2482/tillsyn/A 42794-2020 tillsynsbegäran.docx", "A 42794-2020")</f>
        <v/>
      </c>
      <c r="Y1147">
        <f>HYPERLINK("https://klasma.github.io/Logging_2482/tillsynsmail/A 42794-2020 tillsynsbegäran mail.docx", "A 42794-2020")</f>
        <v/>
      </c>
    </row>
    <row r="1148" ht="15" customHeight="1">
      <c r="A1148" t="inlineStr">
        <is>
          <t>A 43297-2020</t>
        </is>
      </c>
      <c r="B1148" s="1" t="n">
        <v>44081</v>
      </c>
      <c r="C1148" s="1" t="n">
        <v>45792</v>
      </c>
      <c r="D1148" t="inlineStr">
        <is>
          <t>VÄSTERBOTTENS LÄN</t>
        </is>
      </c>
      <c r="E1148" t="inlineStr">
        <is>
          <t>SKELLEFTEÅ</t>
        </is>
      </c>
      <c r="F1148" t="inlineStr">
        <is>
          <t>Sveaskog</t>
        </is>
      </c>
      <c r="G1148" t="n">
        <v>6</v>
      </c>
      <c r="H1148" t="n">
        <v>0</v>
      </c>
      <c r="I1148" t="n">
        <v>1</v>
      </c>
      <c r="J1148" t="n">
        <v>0</v>
      </c>
      <c r="K1148" t="n">
        <v>0</v>
      </c>
      <c r="L1148" t="n">
        <v>0</v>
      </c>
      <c r="M1148" t="n">
        <v>0</v>
      </c>
      <c r="N1148" t="n">
        <v>0</v>
      </c>
      <c r="O1148" t="n">
        <v>0</v>
      </c>
      <c r="P1148" t="n">
        <v>0</v>
      </c>
      <c r="Q1148" t="n">
        <v>1</v>
      </c>
      <c r="R1148" s="2" t="inlineStr">
        <is>
          <t>Vedticka</t>
        </is>
      </c>
      <c r="S1148">
        <f>HYPERLINK("https://klasma.github.io/Logging_2482/artfynd/A 43297-2020 artfynd.xlsx", "A 43297-2020")</f>
        <v/>
      </c>
      <c r="T1148">
        <f>HYPERLINK("https://klasma.github.io/Logging_2482/kartor/A 43297-2020 karta.png", "A 43297-2020")</f>
        <v/>
      </c>
      <c r="V1148">
        <f>HYPERLINK("https://klasma.github.io/Logging_2482/klagomål/A 43297-2020 FSC-klagomål.docx", "A 43297-2020")</f>
        <v/>
      </c>
      <c r="W1148">
        <f>HYPERLINK("https://klasma.github.io/Logging_2482/klagomålsmail/A 43297-2020 FSC-klagomål mail.docx", "A 43297-2020")</f>
        <v/>
      </c>
      <c r="X1148">
        <f>HYPERLINK("https://klasma.github.io/Logging_2482/tillsyn/A 43297-2020 tillsynsbegäran.docx", "A 43297-2020")</f>
        <v/>
      </c>
      <c r="Y1148">
        <f>HYPERLINK("https://klasma.github.io/Logging_2482/tillsynsmail/A 43297-2020 tillsynsbegäran mail.docx", "A 43297-2020")</f>
        <v/>
      </c>
    </row>
    <row r="1149" ht="15" customHeight="1">
      <c r="A1149" t="inlineStr">
        <is>
          <t>A 43303-2020</t>
        </is>
      </c>
      <c r="B1149" s="1" t="n">
        <v>44081</v>
      </c>
      <c r="C1149" s="1" t="n">
        <v>45792</v>
      </c>
      <c r="D1149" t="inlineStr">
        <is>
          <t>VÄSTERBOTTENS LÄN</t>
        </is>
      </c>
      <c r="E1149" t="inlineStr">
        <is>
          <t>SKELLEFTEÅ</t>
        </is>
      </c>
      <c r="F1149" t="inlineStr">
        <is>
          <t>Sveaskog</t>
        </is>
      </c>
      <c r="G1149" t="n">
        <v>2.8</v>
      </c>
      <c r="H1149" t="n">
        <v>0</v>
      </c>
      <c r="I1149" t="n">
        <v>1</v>
      </c>
      <c r="J1149" t="n">
        <v>0</v>
      </c>
      <c r="K1149" t="n">
        <v>0</v>
      </c>
      <c r="L1149" t="n">
        <v>0</v>
      </c>
      <c r="M1149" t="n">
        <v>0</v>
      </c>
      <c r="N1149" t="n">
        <v>0</v>
      </c>
      <c r="O1149" t="n">
        <v>0</v>
      </c>
      <c r="P1149" t="n">
        <v>0</v>
      </c>
      <c r="Q1149" t="n">
        <v>1</v>
      </c>
      <c r="R1149" s="2" t="inlineStr">
        <is>
          <t>Stuplav</t>
        </is>
      </c>
      <c r="S1149">
        <f>HYPERLINK("https://klasma.github.io/Logging_2482/artfynd/A 43303-2020 artfynd.xlsx", "A 43303-2020")</f>
        <v/>
      </c>
      <c r="T1149">
        <f>HYPERLINK("https://klasma.github.io/Logging_2482/kartor/A 43303-2020 karta.png", "A 43303-2020")</f>
        <v/>
      </c>
      <c r="V1149">
        <f>HYPERLINK("https://klasma.github.io/Logging_2482/klagomål/A 43303-2020 FSC-klagomål.docx", "A 43303-2020")</f>
        <v/>
      </c>
      <c r="W1149">
        <f>HYPERLINK("https://klasma.github.io/Logging_2482/klagomålsmail/A 43303-2020 FSC-klagomål mail.docx", "A 43303-2020")</f>
        <v/>
      </c>
      <c r="X1149">
        <f>HYPERLINK("https://klasma.github.io/Logging_2482/tillsyn/A 43303-2020 tillsynsbegäran.docx", "A 43303-2020")</f>
        <v/>
      </c>
      <c r="Y1149">
        <f>HYPERLINK("https://klasma.github.io/Logging_2482/tillsynsmail/A 43303-2020 tillsynsbegäran mail.docx", "A 43303-2020")</f>
        <v/>
      </c>
    </row>
    <row r="1150" ht="15" customHeight="1">
      <c r="A1150" t="inlineStr">
        <is>
          <t>A 43813-2020</t>
        </is>
      </c>
      <c r="B1150" s="1" t="n">
        <v>44082</v>
      </c>
      <c r="C1150" s="1" t="n">
        <v>45792</v>
      </c>
      <c r="D1150" t="inlineStr">
        <is>
          <t>VÄSTERBOTTENS LÄN</t>
        </is>
      </c>
      <c r="E1150" t="inlineStr">
        <is>
          <t>ÅSELE</t>
        </is>
      </c>
      <c r="F1150" t="inlineStr">
        <is>
          <t>Sveaskog</t>
        </is>
      </c>
      <c r="G1150" t="n">
        <v>14.2</v>
      </c>
      <c r="H1150" t="n">
        <v>1</v>
      </c>
      <c r="I1150" t="n">
        <v>0</v>
      </c>
      <c r="J1150" t="n">
        <v>1</v>
      </c>
      <c r="K1150" t="n">
        <v>0</v>
      </c>
      <c r="L1150" t="n">
        <v>0</v>
      </c>
      <c r="M1150" t="n">
        <v>0</v>
      </c>
      <c r="N1150" t="n">
        <v>0</v>
      </c>
      <c r="O1150" t="n">
        <v>1</v>
      </c>
      <c r="P1150" t="n">
        <v>0</v>
      </c>
      <c r="Q1150" t="n">
        <v>1</v>
      </c>
      <c r="R1150" s="2" t="inlineStr">
        <is>
          <t>Spillkråka</t>
        </is>
      </c>
      <c r="S1150">
        <f>HYPERLINK("https://klasma.github.io/Logging_2463/artfynd/A 43813-2020 artfynd.xlsx", "A 43813-2020")</f>
        <v/>
      </c>
      <c r="T1150">
        <f>HYPERLINK("https://klasma.github.io/Logging_2463/kartor/A 43813-2020 karta.png", "A 43813-2020")</f>
        <v/>
      </c>
      <c r="V1150">
        <f>HYPERLINK("https://klasma.github.io/Logging_2463/klagomål/A 43813-2020 FSC-klagomål.docx", "A 43813-2020")</f>
        <v/>
      </c>
      <c r="W1150">
        <f>HYPERLINK("https://klasma.github.io/Logging_2463/klagomålsmail/A 43813-2020 FSC-klagomål mail.docx", "A 43813-2020")</f>
        <v/>
      </c>
      <c r="X1150">
        <f>HYPERLINK("https://klasma.github.io/Logging_2463/tillsyn/A 43813-2020 tillsynsbegäran.docx", "A 43813-2020")</f>
        <v/>
      </c>
      <c r="Y1150">
        <f>HYPERLINK("https://klasma.github.io/Logging_2463/tillsynsmail/A 43813-2020 tillsynsbegäran mail.docx", "A 43813-2020")</f>
        <v/>
      </c>
      <c r="Z1150">
        <f>HYPERLINK("https://klasma.github.io/Logging_2463/fåglar/A 43813-2020 prioriterade fågelarter.docx", "A 43813-2020")</f>
        <v/>
      </c>
    </row>
    <row r="1151" ht="15" customHeight="1">
      <c r="A1151" t="inlineStr">
        <is>
          <t>A 43843-2020</t>
        </is>
      </c>
      <c r="B1151" s="1" t="n">
        <v>44082</v>
      </c>
      <c r="C1151" s="1" t="n">
        <v>45792</v>
      </c>
      <c r="D1151" t="inlineStr">
        <is>
          <t>VÄSTERBOTTENS LÄN</t>
        </is>
      </c>
      <c r="E1151" t="inlineStr">
        <is>
          <t>NORDMALING</t>
        </is>
      </c>
      <c r="F1151" t="inlineStr">
        <is>
          <t>SCA</t>
        </is>
      </c>
      <c r="G1151" t="n">
        <v>1.6</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HYPERLINK("https://klasma.github.io/Logging_2401/artfynd/A 43843-2020 artfynd.xlsx", "A 43843-2020")</f>
        <v/>
      </c>
      <c r="T1151">
        <f>HYPERLINK("https://klasma.github.io/Logging_2401/kartor/A 43843-2020 karta.png", "A 43843-2020")</f>
        <v/>
      </c>
      <c r="V1151">
        <f>HYPERLINK("https://klasma.github.io/Logging_2401/klagomål/A 43843-2020 FSC-klagomål.docx", "A 43843-2020")</f>
        <v/>
      </c>
      <c r="W1151">
        <f>HYPERLINK("https://klasma.github.io/Logging_2401/klagomålsmail/A 43843-2020 FSC-klagomål mail.docx", "A 43843-2020")</f>
        <v/>
      </c>
      <c r="X1151">
        <f>HYPERLINK("https://klasma.github.io/Logging_2401/tillsyn/A 43843-2020 tillsynsbegäran.docx", "A 43843-2020")</f>
        <v/>
      </c>
      <c r="Y1151">
        <f>HYPERLINK("https://klasma.github.io/Logging_2401/tillsynsmail/A 43843-2020 tillsynsbegäran mail.docx", "A 43843-2020")</f>
        <v/>
      </c>
    </row>
    <row r="1152" ht="15" customHeight="1">
      <c r="A1152" t="inlineStr">
        <is>
          <t>A 43863-2020</t>
        </is>
      </c>
      <c r="B1152" s="1" t="n">
        <v>44082</v>
      </c>
      <c r="C1152" s="1" t="n">
        <v>45792</v>
      </c>
      <c r="D1152" t="inlineStr">
        <is>
          <t>VÄSTERBOTTENS LÄN</t>
        </is>
      </c>
      <c r="E1152" t="inlineStr">
        <is>
          <t>VINDELN</t>
        </is>
      </c>
      <c r="F1152" t="inlineStr">
        <is>
          <t>SCA</t>
        </is>
      </c>
      <c r="G1152" t="n">
        <v>3.9</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HYPERLINK("https://klasma.github.io/Logging_2404/artfynd/A 43863-2020 artfynd.xlsx", "A 43863-2020")</f>
        <v/>
      </c>
      <c r="T1152">
        <f>HYPERLINK("https://klasma.github.io/Logging_2404/kartor/A 43863-2020 karta.png", "A 43863-2020")</f>
        <v/>
      </c>
      <c r="V1152">
        <f>HYPERLINK("https://klasma.github.io/Logging_2404/klagomål/A 43863-2020 FSC-klagomål.docx", "A 43863-2020")</f>
        <v/>
      </c>
      <c r="W1152">
        <f>HYPERLINK("https://klasma.github.io/Logging_2404/klagomålsmail/A 43863-2020 FSC-klagomål mail.docx", "A 43863-2020")</f>
        <v/>
      </c>
      <c r="X1152">
        <f>HYPERLINK("https://klasma.github.io/Logging_2404/tillsyn/A 43863-2020 tillsynsbegäran.docx", "A 43863-2020")</f>
        <v/>
      </c>
      <c r="Y1152">
        <f>HYPERLINK("https://klasma.github.io/Logging_2404/tillsynsmail/A 43863-2020 tillsynsbegäran mail.docx", "A 43863-2020")</f>
        <v/>
      </c>
    </row>
    <row r="1153" ht="15" customHeight="1">
      <c r="A1153" t="inlineStr">
        <is>
          <t>A 47013-2020</t>
        </is>
      </c>
      <c r="B1153" s="1" t="n">
        <v>44096</v>
      </c>
      <c r="C1153" s="1" t="n">
        <v>45792</v>
      </c>
      <c r="D1153" t="inlineStr">
        <is>
          <t>VÄSTERBOTTENS LÄN</t>
        </is>
      </c>
      <c r="E1153" t="inlineStr">
        <is>
          <t>VINDELN</t>
        </is>
      </c>
      <c r="G1153" t="n">
        <v>0.6</v>
      </c>
      <c r="H1153" t="n">
        <v>0</v>
      </c>
      <c r="I1153" t="n">
        <v>0</v>
      </c>
      <c r="J1153" t="n">
        <v>1</v>
      </c>
      <c r="K1153" t="n">
        <v>0</v>
      </c>
      <c r="L1153" t="n">
        <v>0</v>
      </c>
      <c r="M1153" t="n">
        <v>0</v>
      </c>
      <c r="N1153" t="n">
        <v>0</v>
      </c>
      <c r="O1153" t="n">
        <v>1</v>
      </c>
      <c r="P1153" t="n">
        <v>0</v>
      </c>
      <c r="Q1153" t="n">
        <v>1</v>
      </c>
      <c r="R1153" s="2" t="inlineStr">
        <is>
          <t>Garnlav</t>
        </is>
      </c>
      <c r="S1153">
        <f>HYPERLINK("https://klasma.github.io/Logging_2404/artfynd/A 47013-2020 artfynd.xlsx", "A 47013-2020")</f>
        <v/>
      </c>
      <c r="T1153">
        <f>HYPERLINK("https://klasma.github.io/Logging_2404/kartor/A 47013-2020 karta.png", "A 47013-2020")</f>
        <v/>
      </c>
      <c r="V1153">
        <f>HYPERLINK("https://klasma.github.io/Logging_2404/klagomål/A 47013-2020 FSC-klagomål.docx", "A 47013-2020")</f>
        <v/>
      </c>
      <c r="W1153">
        <f>HYPERLINK("https://klasma.github.io/Logging_2404/klagomålsmail/A 47013-2020 FSC-klagomål mail.docx", "A 47013-2020")</f>
        <v/>
      </c>
      <c r="X1153">
        <f>HYPERLINK("https://klasma.github.io/Logging_2404/tillsyn/A 47013-2020 tillsynsbegäran.docx", "A 47013-2020")</f>
        <v/>
      </c>
      <c r="Y1153">
        <f>HYPERLINK("https://klasma.github.io/Logging_2404/tillsynsmail/A 47013-2020 tillsynsbegäran mail.docx", "A 47013-2020")</f>
        <v/>
      </c>
    </row>
    <row r="1154" ht="15" customHeight="1">
      <c r="A1154" t="inlineStr">
        <is>
          <t>A 49683-2020</t>
        </is>
      </c>
      <c r="B1154" s="1" t="n">
        <v>44104</v>
      </c>
      <c r="C1154" s="1" t="n">
        <v>45792</v>
      </c>
      <c r="D1154" t="inlineStr">
        <is>
          <t>VÄSTERBOTTENS LÄN</t>
        </is>
      </c>
      <c r="E1154" t="inlineStr">
        <is>
          <t>DOROTEA</t>
        </is>
      </c>
      <c r="F1154" t="inlineStr">
        <is>
          <t>SCA</t>
        </is>
      </c>
      <c r="G1154" t="n">
        <v>1.1</v>
      </c>
      <c r="H1154" t="n">
        <v>0</v>
      </c>
      <c r="I1154" t="n">
        <v>0</v>
      </c>
      <c r="J1154" t="n">
        <v>0</v>
      </c>
      <c r="K1154" t="n">
        <v>1</v>
      </c>
      <c r="L1154" t="n">
        <v>0</v>
      </c>
      <c r="M1154" t="n">
        <v>0</v>
      </c>
      <c r="N1154" t="n">
        <v>0</v>
      </c>
      <c r="O1154" t="n">
        <v>1</v>
      </c>
      <c r="P1154" t="n">
        <v>1</v>
      </c>
      <c r="Q1154" t="n">
        <v>1</v>
      </c>
      <c r="R1154" s="2" t="inlineStr">
        <is>
          <t>Rynkskinn</t>
        </is>
      </c>
      <c r="S1154">
        <f>HYPERLINK("https://klasma.github.io/Logging_2425/artfynd/A 49683-2020 artfynd.xlsx", "A 49683-2020")</f>
        <v/>
      </c>
      <c r="T1154">
        <f>HYPERLINK("https://klasma.github.io/Logging_2425/kartor/A 49683-2020 karta.png", "A 49683-2020")</f>
        <v/>
      </c>
      <c r="V1154">
        <f>HYPERLINK("https://klasma.github.io/Logging_2425/klagomål/A 49683-2020 FSC-klagomål.docx", "A 49683-2020")</f>
        <v/>
      </c>
      <c r="W1154">
        <f>HYPERLINK("https://klasma.github.io/Logging_2425/klagomålsmail/A 49683-2020 FSC-klagomål mail.docx", "A 49683-2020")</f>
        <v/>
      </c>
      <c r="X1154">
        <f>HYPERLINK("https://klasma.github.io/Logging_2425/tillsyn/A 49683-2020 tillsynsbegäran.docx", "A 49683-2020")</f>
        <v/>
      </c>
      <c r="Y1154">
        <f>HYPERLINK("https://klasma.github.io/Logging_2425/tillsynsmail/A 49683-2020 tillsynsbegäran mail.docx", "A 49683-2020")</f>
        <v/>
      </c>
    </row>
    <row r="1155" ht="15" customHeight="1">
      <c r="A1155" t="inlineStr">
        <is>
          <t>A 52538-2020</t>
        </is>
      </c>
      <c r="B1155" s="1" t="n">
        <v>44118</v>
      </c>
      <c r="C1155" s="1" t="n">
        <v>45792</v>
      </c>
      <c r="D1155" t="inlineStr">
        <is>
          <t>VÄSTERBOTTENS LÄN</t>
        </is>
      </c>
      <c r="E1155" t="inlineStr">
        <is>
          <t>VINDELN</t>
        </is>
      </c>
      <c r="F1155" t="inlineStr">
        <is>
          <t>Sveaskog</t>
        </is>
      </c>
      <c r="G1155" t="n">
        <v>22.7</v>
      </c>
      <c r="H1155" t="n">
        <v>0</v>
      </c>
      <c r="I1155" t="n">
        <v>0</v>
      </c>
      <c r="J1155" t="n">
        <v>1</v>
      </c>
      <c r="K1155" t="n">
        <v>0</v>
      </c>
      <c r="L1155" t="n">
        <v>0</v>
      </c>
      <c r="M1155" t="n">
        <v>0</v>
      </c>
      <c r="N1155" t="n">
        <v>0</v>
      </c>
      <c r="O1155" t="n">
        <v>1</v>
      </c>
      <c r="P1155" t="n">
        <v>0</v>
      </c>
      <c r="Q1155" t="n">
        <v>1</v>
      </c>
      <c r="R1155" s="2" t="inlineStr">
        <is>
          <t>Motaggsvamp</t>
        </is>
      </c>
      <c r="S1155">
        <f>HYPERLINK("https://klasma.github.io/Logging_2404/artfynd/A 52538-2020 artfynd.xlsx", "A 52538-2020")</f>
        <v/>
      </c>
      <c r="T1155">
        <f>HYPERLINK("https://klasma.github.io/Logging_2404/kartor/A 52538-2020 karta.png", "A 52538-2020")</f>
        <v/>
      </c>
      <c r="V1155">
        <f>HYPERLINK("https://klasma.github.io/Logging_2404/klagomål/A 52538-2020 FSC-klagomål.docx", "A 52538-2020")</f>
        <v/>
      </c>
      <c r="W1155">
        <f>HYPERLINK("https://klasma.github.io/Logging_2404/klagomålsmail/A 52538-2020 FSC-klagomål mail.docx", "A 52538-2020")</f>
        <v/>
      </c>
      <c r="X1155">
        <f>HYPERLINK("https://klasma.github.io/Logging_2404/tillsyn/A 52538-2020 tillsynsbegäran.docx", "A 52538-2020")</f>
        <v/>
      </c>
      <c r="Y1155">
        <f>HYPERLINK("https://klasma.github.io/Logging_2404/tillsynsmail/A 52538-2020 tillsynsbegäran mail.docx", "A 52538-2020")</f>
        <v/>
      </c>
    </row>
    <row r="1156" ht="15" customHeight="1">
      <c r="A1156" t="inlineStr">
        <is>
          <t>A 55810-2020</t>
        </is>
      </c>
      <c r="B1156" s="1" t="n">
        <v>44132</v>
      </c>
      <c r="C1156" s="1" t="n">
        <v>45792</v>
      </c>
      <c r="D1156" t="inlineStr">
        <is>
          <t>VÄSTERBOTTENS LÄN</t>
        </is>
      </c>
      <c r="E1156" t="inlineStr">
        <is>
          <t>SKELLEFTEÅ</t>
        </is>
      </c>
      <c r="F1156" t="inlineStr">
        <is>
          <t>Sveaskog</t>
        </is>
      </c>
      <c r="G1156" t="n">
        <v>20.1</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55810-2020 artfynd.xlsx", "A 55810-2020")</f>
        <v/>
      </c>
      <c r="T1156">
        <f>HYPERLINK("https://klasma.github.io/Logging_2482/kartor/A 55810-2020 karta.png", "A 55810-2020")</f>
        <v/>
      </c>
      <c r="V1156">
        <f>HYPERLINK("https://klasma.github.io/Logging_2482/klagomål/A 55810-2020 FSC-klagomål.docx", "A 55810-2020")</f>
        <v/>
      </c>
      <c r="W1156">
        <f>HYPERLINK("https://klasma.github.io/Logging_2482/klagomålsmail/A 55810-2020 FSC-klagomål mail.docx", "A 55810-2020")</f>
        <v/>
      </c>
      <c r="X1156">
        <f>HYPERLINK("https://klasma.github.io/Logging_2482/tillsyn/A 55810-2020 tillsynsbegäran.docx", "A 55810-2020")</f>
        <v/>
      </c>
      <c r="Y1156">
        <f>HYPERLINK("https://klasma.github.io/Logging_2482/tillsynsmail/A 55810-2020 tillsynsbegäran mail.docx", "A 55810-2020")</f>
        <v/>
      </c>
    </row>
    <row r="1157" ht="15" customHeight="1">
      <c r="A1157" t="inlineStr">
        <is>
          <t>A 57861-2020</t>
        </is>
      </c>
      <c r="B1157" s="1" t="n">
        <v>44141</v>
      </c>
      <c r="C1157" s="1" t="n">
        <v>45792</v>
      </c>
      <c r="D1157" t="inlineStr">
        <is>
          <t>VÄSTERBOTTENS LÄN</t>
        </is>
      </c>
      <c r="E1157" t="inlineStr">
        <is>
          <t>VILHELMINA</t>
        </is>
      </c>
      <c r="F1157" t="inlineStr">
        <is>
          <t>Sveaskog</t>
        </is>
      </c>
      <c r="G1157" t="n">
        <v>11.9</v>
      </c>
      <c r="H1157" t="n">
        <v>0</v>
      </c>
      <c r="I1157" t="n">
        <v>0</v>
      </c>
      <c r="J1157" t="n">
        <v>0</v>
      </c>
      <c r="K1157" t="n">
        <v>1</v>
      </c>
      <c r="L1157" t="n">
        <v>0</v>
      </c>
      <c r="M1157" t="n">
        <v>0</v>
      </c>
      <c r="N1157" t="n">
        <v>0</v>
      </c>
      <c r="O1157" t="n">
        <v>1</v>
      </c>
      <c r="P1157" t="n">
        <v>1</v>
      </c>
      <c r="Q1157" t="n">
        <v>1</v>
      </c>
      <c r="R1157" s="2" t="inlineStr">
        <is>
          <t>Fläckporing</t>
        </is>
      </c>
      <c r="S1157">
        <f>HYPERLINK("https://klasma.github.io/Logging_2462/artfynd/A 57861-2020 artfynd.xlsx", "A 57861-2020")</f>
        <v/>
      </c>
      <c r="T1157">
        <f>HYPERLINK("https://klasma.github.io/Logging_2462/kartor/A 57861-2020 karta.png", "A 57861-2020")</f>
        <v/>
      </c>
      <c r="V1157">
        <f>HYPERLINK("https://klasma.github.io/Logging_2462/klagomål/A 57861-2020 FSC-klagomål.docx", "A 57861-2020")</f>
        <v/>
      </c>
      <c r="W1157">
        <f>HYPERLINK("https://klasma.github.io/Logging_2462/klagomålsmail/A 57861-2020 FSC-klagomål mail.docx", "A 57861-2020")</f>
        <v/>
      </c>
      <c r="X1157">
        <f>HYPERLINK("https://klasma.github.io/Logging_2462/tillsyn/A 57861-2020 tillsynsbegäran.docx", "A 57861-2020")</f>
        <v/>
      </c>
      <c r="Y1157">
        <f>HYPERLINK("https://klasma.github.io/Logging_2462/tillsynsmail/A 57861-2020 tillsynsbegäran mail.docx", "A 57861-2020")</f>
        <v/>
      </c>
    </row>
    <row r="1158" ht="15" customHeight="1">
      <c r="A1158" t="inlineStr">
        <is>
          <t>A 58269-2020</t>
        </is>
      </c>
      <c r="B1158" s="1" t="n">
        <v>44144</v>
      </c>
      <c r="C1158" s="1" t="n">
        <v>45792</v>
      </c>
      <c r="D1158" t="inlineStr">
        <is>
          <t>VÄSTERBOTTENS LÄN</t>
        </is>
      </c>
      <c r="E1158" t="inlineStr">
        <is>
          <t>VINDELN</t>
        </is>
      </c>
      <c r="F1158" t="inlineStr">
        <is>
          <t>Sveaskog</t>
        </is>
      </c>
      <c r="G1158" t="n">
        <v>6.2</v>
      </c>
      <c r="H1158" t="n">
        <v>1</v>
      </c>
      <c r="I1158" t="n">
        <v>1</v>
      </c>
      <c r="J1158" t="n">
        <v>0</v>
      </c>
      <c r="K1158" t="n">
        <v>0</v>
      </c>
      <c r="L1158" t="n">
        <v>0</v>
      </c>
      <c r="M1158" t="n">
        <v>0</v>
      </c>
      <c r="N1158" t="n">
        <v>0</v>
      </c>
      <c r="O1158" t="n">
        <v>0</v>
      </c>
      <c r="P1158" t="n">
        <v>0</v>
      </c>
      <c r="Q1158" t="n">
        <v>1</v>
      </c>
      <c r="R1158" s="2" t="inlineStr">
        <is>
          <t>Lappranunkel</t>
        </is>
      </c>
      <c r="S1158">
        <f>HYPERLINK("https://klasma.github.io/Logging_2404/artfynd/A 58269-2020 artfynd.xlsx", "A 58269-2020")</f>
        <v/>
      </c>
      <c r="T1158">
        <f>HYPERLINK("https://klasma.github.io/Logging_2404/kartor/A 58269-2020 karta.png", "A 58269-2020")</f>
        <v/>
      </c>
      <c r="V1158">
        <f>HYPERLINK("https://klasma.github.io/Logging_2404/klagomål/A 58269-2020 FSC-klagomål.docx", "A 58269-2020")</f>
        <v/>
      </c>
      <c r="W1158">
        <f>HYPERLINK("https://klasma.github.io/Logging_2404/klagomålsmail/A 58269-2020 FSC-klagomål mail.docx", "A 58269-2020")</f>
        <v/>
      </c>
      <c r="X1158">
        <f>HYPERLINK("https://klasma.github.io/Logging_2404/tillsyn/A 58269-2020 tillsynsbegäran.docx", "A 58269-2020")</f>
        <v/>
      </c>
      <c r="Y1158">
        <f>HYPERLINK("https://klasma.github.io/Logging_2404/tillsynsmail/A 58269-2020 tillsynsbegäran mail.docx", "A 58269-2020")</f>
        <v/>
      </c>
    </row>
    <row r="1159" ht="15" customHeight="1">
      <c r="A1159" t="inlineStr">
        <is>
          <t>A 59120-2020</t>
        </is>
      </c>
      <c r="B1159" s="1" t="n">
        <v>44147</v>
      </c>
      <c r="C1159" s="1" t="n">
        <v>45792</v>
      </c>
      <c r="D1159" t="inlineStr">
        <is>
          <t>VÄSTERBOTTENS LÄN</t>
        </is>
      </c>
      <c r="E1159" t="inlineStr">
        <is>
          <t>NORSJÖ</t>
        </is>
      </c>
      <c r="F1159" t="inlineStr">
        <is>
          <t>Sveaskog</t>
        </is>
      </c>
      <c r="G1159" t="n">
        <v>19.6</v>
      </c>
      <c r="H1159" t="n">
        <v>0</v>
      </c>
      <c r="I1159" t="n">
        <v>1</v>
      </c>
      <c r="J1159" t="n">
        <v>0</v>
      </c>
      <c r="K1159" t="n">
        <v>0</v>
      </c>
      <c r="L1159" t="n">
        <v>0</v>
      </c>
      <c r="M1159" t="n">
        <v>0</v>
      </c>
      <c r="N1159" t="n">
        <v>0</v>
      </c>
      <c r="O1159" t="n">
        <v>0</v>
      </c>
      <c r="P1159" t="n">
        <v>0</v>
      </c>
      <c r="Q1159" t="n">
        <v>1</v>
      </c>
      <c r="R1159" s="2" t="inlineStr">
        <is>
          <t>Bollvitmossa</t>
        </is>
      </c>
      <c r="S1159">
        <f>HYPERLINK("https://klasma.github.io/Logging_2417/artfynd/A 59120-2020 artfynd.xlsx", "A 59120-2020")</f>
        <v/>
      </c>
      <c r="T1159">
        <f>HYPERLINK("https://klasma.github.io/Logging_2417/kartor/A 59120-2020 karta.png", "A 59120-2020")</f>
        <v/>
      </c>
      <c r="V1159">
        <f>HYPERLINK("https://klasma.github.io/Logging_2417/klagomål/A 59120-2020 FSC-klagomål.docx", "A 59120-2020")</f>
        <v/>
      </c>
      <c r="W1159">
        <f>HYPERLINK("https://klasma.github.io/Logging_2417/klagomålsmail/A 59120-2020 FSC-klagomål mail.docx", "A 59120-2020")</f>
        <v/>
      </c>
      <c r="X1159">
        <f>HYPERLINK("https://klasma.github.io/Logging_2417/tillsyn/A 59120-2020 tillsynsbegäran.docx", "A 59120-2020")</f>
        <v/>
      </c>
      <c r="Y1159">
        <f>HYPERLINK("https://klasma.github.io/Logging_2417/tillsynsmail/A 59120-2020 tillsynsbegäran mail.docx", "A 59120-2020")</f>
        <v/>
      </c>
    </row>
    <row r="1160" ht="15" customHeight="1">
      <c r="A1160" t="inlineStr">
        <is>
          <t>A 62699-2020</t>
        </is>
      </c>
      <c r="B1160" s="1" t="n">
        <v>44161</v>
      </c>
      <c r="C1160" s="1" t="n">
        <v>45792</v>
      </c>
      <c r="D1160" t="inlineStr">
        <is>
          <t>VÄSTERBOTTENS LÄN</t>
        </is>
      </c>
      <c r="E1160" t="inlineStr">
        <is>
          <t>NORSJÖ</t>
        </is>
      </c>
      <c r="F1160" t="inlineStr">
        <is>
          <t>Sveaskog</t>
        </is>
      </c>
      <c r="G1160" t="n">
        <v>2</v>
      </c>
      <c r="H1160" t="n">
        <v>0</v>
      </c>
      <c r="I1160" t="n">
        <v>1</v>
      </c>
      <c r="J1160" t="n">
        <v>0</v>
      </c>
      <c r="K1160" t="n">
        <v>0</v>
      </c>
      <c r="L1160" t="n">
        <v>0</v>
      </c>
      <c r="M1160" t="n">
        <v>0</v>
      </c>
      <c r="N1160" t="n">
        <v>0</v>
      </c>
      <c r="O1160" t="n">
        <v>0</v>
      </c>
      <c r="P1160" t="n">
        <v>0</v>
      </c>
      <c r="Q1160" t="n">
        <v>1</v>
      </c>
      <c r="R1160" s="2" t="inlineStr">
        <is>
          <t>Bronshjon</t>
        </is>
      </c>
      <c r="S1160">
        <f>HYPERLINK("https://klasma.github.io/Logging_2417/artfynd/A 62699-2020 artfynd.xlsx", "A 62699-2020")</f>
        <v/>
      </c>
      <c r="T1160">
        <f>HYPERLINK("https://klasma.github.io/Logging_2417/kartor/A 62699-2020 karta.png", "A 62699-2020")</f>
        <v/>
      </c>
      <c r="V1160">
        <f>HYPERLINK("https://klasma.github.io/Logging_2417/klagomål/A 62699-2020 FSC-klagomål.docx", "A 62699-2020")</f>
        <v/>
      </c>
      <c r="W1160">
        <f>HYPERLINK("https://klasma.github.io/Logging_2417/klagomålsmail/A 62699-2020 FSC-klagomål mail.docx", "A 62699-2020")</f>
        <v/>
      </c>
      <c r="X1160">
        <f>HYPERLINK("https://klasma.github.io/Logging_2417/tillsyn/A 62699-2020 tillsynsbegäran.docx", "A 62699-2020")</f>
        <v/>
      </c>
      <c r="Y1160">
        <f>HYPERLINK("https://klasma.github.io/Logging_2417/tillsynsmail/A 62699-2020 tillsynsbegäran mail.docx", "A 62699-2020")</f>
        <v/>
      </c>
    </row>
    <row r="1161" ht="15" customHeight="1">
      <c r="A1161" t="inlineStr">
        <is>
          <t>A 63227-2020</t>
        </is>
      </c>
      <c r="B1161" s="1" t="n">
        <v>44163</v>
      </c>
      <c r="C1161" s="1" t="n">
        <v>45792</v>
      </c>
      <c r="D1161" t="inlineStr">
        <is>
          <t>VÄSTERBOTTENS LÄN</t>
        </is>
      </c>
      <c r="E1161" t="inlineStr">
        <is>
          <t>VINDELN</t>
        </is>
      </c>
      <c r="F1161" t="inlineStr">
        <is>
          <t>Sveaskog</t>
        </is>
      </c>
      <c r="G1161" t="n">
        <v>2.6</v>
      </c>
      <c r="H1161" t="n">
        <v>0</v>
      </c>
      <c r="I1161" t="n">
        <v>0</v>
      </c>
      <c r="J1161" t="n">
        <v>1</v>
      </c>
      <c r="K1161" t="n">
        <v>0</v>
      </c>
      <c r="L1161" t="n">
        <v>0</v>
      </c>
      <c r="M1161" t="n">
        <v>0</v>
      </c>
      <c r="N1161" t="n">
        <v>0</v>
      </c>
      <c r="O1161" t="n">
        <v>1</v>
      </c>
      <c r="P1161" t="n">
        <v>0</v>
      </c>
      <c r="Q1161" t="n">
        <v>1</v>
      </c>
      <c r="R1161" s="2" t="inlineStr">
        <is>
          <t>Garnlav</t>
        </is>
      </c>
      <c r="S1161">
        <f>HYPERLINK("https://klasma.github.io/Logging_2404/artfynd/A 63227-2020 artfynd.xlsx", "A 63227-2020")</f>
        <v/>
      </c>
      <c r="T1161">
        <f>HYPERLINK("https://klasma.github.io/Logging_2404/kartor/A 63227-2020 karta.png", "A 63227-2020")</f>
        <v/>
      </c>
      <c r="V1161">
        <f>HYPERLINK("https://klasma.github.io/Logging_2404/klagomål/A 63227-2020 FSC-klagomål.docx", "A 63227-2020")</f>
        <v/>
      </c>
      <c r="W1161">
        <f>HYPERLINK("https://klasma.github.io/Logging_2404/klagomålsmail/A 63227-2020 FSC-klagomål mail.docx", "A 63227-2020")</f>
        <v/>
      </c>
      <c r="X1161">
        <f>HYPERLINK("https://klasma.github.io/Logging_2404/tillsyn/A 63227-2020 tillsynsbegäran.docx", "A 63227-2020")</f>
        <v/>
      </c>
      <c r="Y1161">
        <f>HYPERLINK("https://klasma.github.io/Logging_2404/tillsynsmail/A 63227-2020 tillsynsbegäran mail.docx", "A 63227-2020")</f>
        <v/>
      </c>
    </row>
    <row r="1162" ht="15" customHeight="1">
      <c r="A1162" t="inlineStr">
        <is>
          <t>A 63237-2020</t>
        </is>
      </c>
      <c r="B1162" s="1" t="n">
        <v>44163</v>
      </c>
      <c r="C1162" s="1" t="n">
        <v>45792</v>
      </c>
      <c r="D1162" t="inlineStr">
        <is>
          <t>VÄSTERBOTTENS LÄN</t>
        </is>
      </c>
      <c r="E1162" t="inlineStr">
        <is>
          <t>ROBERTSFORS</t>
        </is>
      </c>
      <c r="F1162" t="inlineStr">
        <is>
          <t>Sveaskog</t>
        </is>
      </c>
      <c r="G1162" t="n">
        <v>1.4</v>
      </c>
      <c r="H1162" t="n">
        <v>0</v>
      </c>
      <c r="I1162" t="n">
        <v>0</v>
      </c>
      <c r="J1162" t="n">
        <v>1</v>
      </c>
      <c r="K1162" t="n">
        <v>0</v>
      </c>
      <c r="L1162" t="n">
        <v>0</v>
      </c>
      <c r="M1162" t="n">
        <v>0</v>
      </c>
      <c r="N1162" t="n">
        <v>0</v>
      </c>
      <c r="O1162" t="n">
        <v>1</v>
      </c>
      <c r="P1162" t="n">
        <v>0</v>
      </c>
      <c r="Q1162" t="n">
        <v>1</v>
      </c>
      <c r="R1162" s="2" t="inlineStr">
        <is>
          <t>Garnlav</t>
        </is>
      </c>
      <c r="S1162">
        <f>HYPERLINK("https://klasma.github.io/Logging_2409/artfynd/A 63237-2020 artfynd.xlsx", "A 63237-2020")</f>
        <v/>
      </c>
      <c r="T1162">
        <f>HYPERLINK("https://klasma.github.io/Logging_2409/kartor/A 63237-2020 karta.png", "A 63237-2020")</f>
        <v/>
      </c>
      <c r="V1162">
        <f>HYPERLINK("https://klasma.github.io/Logging_2409/klagomål/A 63237-2020 FSC-klagomål.docx", "A 63237-2020")</f>
        <v/>
      </c>
      <c r="W1162">
        <f>HYPERLINK("https://klasma.github.io/Logging_2409/klagomålsmail/A 63237-2020 FSC-klagomål mail.docx", "A 63237-2020")</f>
        <v/>
      </c>
      <c r="X1162">
        <f>HYPERLINK("https://klasma.github.io/Logging_2409/tillsyn/A 63237-2020 tillsynsbegäran.docx", "A 63237-2020")</f>
        <v/>
      </c>
      <c r="Y1162">
        <f>HYPERLINK("https://klasma.github.io/Logging_2409/tillsynsmail/A 63237-2020 tillsynsbegäran mail.docx", "A 63237-2020")</f>
        <v/>
      </c>
    </row>
    <row r="1163" ht="15" customHeight="1">
      <c r="A1163" t="inlineStr">
        <is>
          <t>A 64185-2020</t>
        </is>
      </c>
      <c r="B1163" s="1" t="n">
        <v>44167</v>
      </c>
      <c r="C1163" s="1" t="n">
        <v>45792</v>
      </c>
      <c r="D1163" t="inlineStr">
        <is>
          <t>VÄSTERBOTTENS LÄN</t>
        </is>
      </c>
      <c r="E1163" t="inlineStr">
        <is>
          <t>NORDMALING</t>
        </is>
      </c>
      <c r="F1163" t="inlineStr">
        <is>
          <t>SCA</t>
        </is>
      </c>
      <c r="G1163" t="n">
        <v>1.7</v>
      </c>
      <c r="H1163" t="n">
        <v>0</v>
      </c>
      <c r="I1163" t="n">
        <v>0</v>
      </c>
      <c r="J1163" t="n">
        <v>1</v>
      </c>
      <c r="K1163" t="n">
        <v>0</v>
      </c>
      <c r="L1163" t="n">
        <v>0</v>
      </c>
      <c r="M1163" t="n">
        <v>0</v>
      </c>
      <c r="N1163" t="n">
        <v>0</v>
      </c>
      <c r="O1163" t="n">
        <v>1</v>
      </c>
      <c r="P1163" t="n">
        <v>0</v>
      </c>
      <c r="Q1163" t="n">
        <v>1</v>
      </c>
      <c r="R1163" s="2" t="inlineStr">
        <is>
          <t>Gränsticka</t>
        </is>
      </c>
      <c r="S1163">
        <f>HYPERLINK("https://klasma.github.io/Logging_2401/artfynd/A 64185-2020 artfynd.xlsx", "A 64185-2020")</f>
        <v/>
      </c>
      <c r="T1163">
        <f>HYPERLINK("https://klasma.github.io/Logging_2401/kartor/A 64185-2020 karta.png", "A 64185-2020")</f>
        <v/>
      </c>
      <c r="V1163">
        <f>HYPERLINK("https://klasma.github.io/Logging_2401/klagomål/A 64185-2020 FSC-klagomål.docx", "A 64185-2020")</f>
        <v/>
      </c>
      <c r="W1163">
        <f>HYPERLINK("https://klasma.github.io/Logging_2401/klagomålsmail/A 64185-2020 FSC-klagomål mail.docx", "A 64185-2020")</f>
        <v/>
      </c>
      <c r="X1163">
        <f>HYPERLINK("https://klasma.github.io/Logging_2401/tillsyn/A 64185-2020 tillsynsbegäran.docx", "A 64185-2020")</f>
        <v/>
      </c>
      <c r="Y1163">
        <f>HYPERLINK("https://klasma.github.io/Logging_2401/tillsynsmail/A 64185-2020 tillsynsbegäran mail.docx", "A 64185-2020")</f>
        <v/>
      </c>
    </row>
    <row r="1164" ht="15" customHeight="1">
      <c r="A1164" t="inlineStr">
        <is>
          <t>A 65617-2020</t>
        </is>
      </c>
      <c r="B1164" s="1" t="n">
        <v>44173</v>
      </c>
      <c r="C1164" s="1" t="n">
        <v>45792</v>
      </c>
      <c r="D1164" t="inlineStr">
        <is>
          <t>VÄSTERBOTTENS LÄN</t>
        </is>
      </c>
      <c r="E1164" t="inlineStr">
        <is>
          <t>NORDMALING</t>
        </is>
      </c>
      <c r="F1164" t="inlineStr">
        <is>
          <t>SCA</t>
        </is>
      </c>
      <c r="G1164" t="n">
        <v>4.3</v>
      </c>
      <c r="H1164" t="n">
        <v>0</v>
      </c>
      <c r="I1164" t="n">
        <v>0</v>
      </c>
      <c r="J1164" t="n">
        <v>1</v>
      </c>
      <c r="K1164" t="n">
        <v>0</v>
      </c>
      <c r="L1164" t="n">
        <v>0</v>
      </c>
      <c r="M1164" t="n">
        <v>0</v>
      </c>
      <c r="N1164" t="n">
        <v>0</v>
      </c>
      <c r="O1164" t="n">
        <v>1</v>
      </c>
      <c r="P1164" t="n">
        <v>0</v>
      </c>
      <c r="Q1164" t="n">
        <v>1</v>
      </c>
      <c r="R1164" s="2" t="inlineStr">
        <is>
          <t>Lunglav</t>
        </is>
      </c>
      <c r="S1164">
        <f>HYPERLINK("https://klasma.github.io/Logging_2401/artfynd/A 65617-2020 artfynd.xlsx", "A 65617-2020")</f>
        <v/>
      </c>
      <c r="T1164">
        <f>HYPERLINK("https://klasma.github.io/Logging_2401/kartor/A 65617-2020 karta.png", "A 65617-2020")</f>
        <v/>
      </c>
      <c r="V1164">
        <f>HYPERLINK("https://klasma.github.io/Logging_2401/klagomål/A 65617-2020 FSC-klagomål.docx", "A 65617-2020")</f>
        <v/>
      </c>
      <c r="W1164">
        <f>HYPERLINK("https://klasma.github.io/Logging_2401/klagomålsmail/A 65617-2020 FSC-klagomål mail.docx", "A 65617-2020")</f>
        <v/>
      </c>
      <c r="X1164">
        <f>HYPERLINK("https://klasma.github.io/Logging_2401/tillsyn/A 65617-2020 tillsynsbegäran.docx", "A 65617-2020")</f>
        <v/>
      </c>
      <c r="Y1164">
        <f>HYPERLINK("https://klasma.github.io/Logging_2401/tillsynsmail/A 65617-2020 tillsynsbegäran mail.docx", "A 65617-2020")</f>
        <v/>
      </c>
    </row>
    <row r="1165" ht="15" customHeight="1">
      <c r="A1165" t="inlineStr">
        <is>
          <t>A 68291-2020</t>
        </is>
      </c>
      <c r="B1165" s="1" t="n">
        <v>44183</v>
      </c>
      <c r="C1165" s="1" t="n">
        <v>45792</v>
      </c>
      <c r="D1165" t="inlineStr">
        <is>
          <t>VÄSTERBOTTENS LÄN</t>
        </is>
      </c>
      <c r="E1165" t="inlineStr">
        <is>
          <t>NORDMALING</t>
        </is>
      </c>
      <c r="F1165" t="inlineStr">
        <is>
          <t>SCA</t>
        </is>
      </c>
      <c r="G1165" t="n">
        <v>2.2</v>
      </c>
      <c r="H1165" t="n">
        <v>0</v>
      </c>
      <c r="I1165" t="n">
        <v>0</v>
      </c>
      <c r="J1165" t="n">
        <v>1</v>
      </c>
      <c r="K1165" t="n">
        <v>0</v>
      </c>
      <c r="L1165" t="n">
        <v>0</v>
      </c>
      <c r="M1165" t="n">
        <v>0</v>
      </c>
      <c r="N1165" t="n">
        <v>0</v>
      </c>
      <c r="O1165" t="n">
        <v>1</v>
      </c>
      <c r="P1165" t="n">
        <v>0</v>
      </c>
      <c r="Q1165" t="n">
        <v>1</v>
      </c>
      <c r="R1165" s="2" t="inlineStr">
        <is>
          <t>Granticka</t>
        </is>
      </c>
      <c r="S1165">
        <f>HYPERLINK("https://klasma.github.io/Logging_2401/artfynd/A 68291-2020 artfynd.xlsx", "A 68291-2020")</f>
        <v/>
      </c>
      <c r="T1165">
        <f>HYPERLINK("https://klasma.github.io/Logging_2401/kartor/A 68291-2020 karta.png", "A 68291-2020")</f>
        <v/>
      </c>
      <c r="V1165">
        <f>HYPERLINK("https://klasma.github.io/Logging_2401/klagomål/A 68291-2020 FSC-klagomål.docx", "A 68291-2020")</f>
        <v/>
      </c>
      <c r="W1165">
        <f>HYPERLINK("https://klasma.github.io/Logging_2401/klagomålsmail/A 68291-2020 FSC-klagomål mail.docx", "A 68291-2020")</f>
        <v/>
      </c>
      <c r="X1165">
        <f>HYPERLINK("https://klasma.github.io/Logging_2401/tillsyn/A 68291-2020 tillsynsbegäran.docx", "A 68291-2020")</f>
        <v/>
      </c>
      <c r="Y1165">
        <f>HYPERLINK("https://klasma.github.io/Logging_2401/tillsynsmail/A 68291-2020 tillsynsbegäran mail.docx", "A 68291-2020")</f>
        <v/>
      </c>
    </row>
    <row r="1166" ht="15" customHeight="1">
      <c r="A1166" t="inlineStr">
        <is>
          <t>A 3502-2021</t>
        </is>
      </c>
      <c r="B1166" s="1" t="n">
        <v>44218</v>
      </c>
      <c r="C1166" s="1" t="n">
        <v>45792</v>
      </c>
      <c r="D1166" t="inlineStr">
        <is>
          <t>VÄSTERBOTTENS LÄN</t>
        </is>
      </c>
      <c r="E1166" t="inlineStr">
        <is>
          <t>STORUMAN</t>
        </is>
      </c>
      <c r="F1166" t="inlineStr">
        <is>
          <t>Sveaskog</t>
        </is>
      </c>
      <c r="G1166" t="n">
        <v>4.3</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3502-2021 artfynd.xlsx", "A 3502-2021")</f>
        <v/>
      </c>
      <c r="T1166">
        <f>HYPERLINK("https://klasma.github.io/Logging_2421/kartor/A 3502-2021 karta.png", "A 3502-2021")</f>
        <v/>
      </c>
      <c r="V1166">
        <f>HYPERLINK("https://klasma.github.io/Logging_2421/klagomål/A 3502-2021 FSC-klagomål.docx", "A 3502-2021")</f>
        <v/>
      </c>
      <c r="W1166">
        <f>HYPERLINK("https://klasma.github.io/Logging_2421/klagomålsmail/A 3502-2021 FSC-klagomål mail.docx", "A 3502-2021")</f>
        <v/>
      </c>
      <c r="X1166">
        <f>HYPERLINK("https://klasma.github.io/Logging_2421/tillsyn/A 3502-2021 tillsynsbegäran.docx", "A 3502-2021")</f>
        <v/>
      </c>
      <c r="Y1166">
        <f>HYPERLINK("https://klasma.github.io/Logging_2421/tillsynsmail/A 3502-2021 tillsynsbegäran mail.docx", "A 3502-2021")</f>
        <v/>
      </c>
    </row>
    <row r="1167" ht="15" customHeight="1">
      <c r="A1167" t="inlineStr">
        <is>
          <t>A 3816-2021</t>
        </is>
      </c>
      <c r="B1167" s="1" t="n">
        <v>44221</v>
      </c>
      <c r="C1167" s="1" t="n">
        <v>45792</v>
      </c>
      <c r="D1167" t="inlineStr">
        <is>
          <t>VÄSTERBOTTENS LÄN</t>
        </is>
      </c>
      <c r="E1167" t="inlineStr">
        <is>
          <t>NORDMALING</t>
        </is>
      </c>
      <c r="G1167" t="n">
        <v>2.3</v>
      </c>
      <c r="H1167" t="n">
        <v>0</v>
      </c>
      <c r="I1167" t="n">
        <v>1</v>
      </c>
      <c r="J1167" t="n">
        <v>0</v>
      </c>
      <c r="K1167" t="n">
        <v>0</v>
      </c>
      <c r="L1167" t="n">
        <v>0</v>
      </c>
      <c r="M1167" t="n">
        <v>0</v>
      </c>
      <c r="N1167" t="n">
        <v>0</v>
      </c>
      <c r="O1167" t="n">
        <v>0</v>
      </c>
      <c r="P1167" t="n">
        <v>0</v>
      </c>
      <c r="Q1167" t="n">
        <v>1</v>
      </c>
      <c r="R1167" s="2" t="inlineStr">
        <is>
          <t>Trådticka</t>
        </is>
      </c>
      <c r="S1167">
        <f>HYPERLINK("https://klasma.github.io/Logging_2401/artfynd/A 3816-2021 artfynd.xlsx", "A 3816-2021")</f>
        <v/>
      </c>
      <c r="T1167">
        <f>HYPERLINK("https://klasma.github.io/Logging_2401/kartor/A 3816-2021 karta.png", "A 3816-2021")</f>
        <v/>
      </c>
      <c r="V1167">
        <f>HYPERLINK("https://klasma.github.io/Logging_2401/klagomål/A 3816-2021 FSC-klagomål.docx", "A 3816-2021")</f>
        <v/>
      </c>
      <c r="W1167">
        <f>HYPERLINK("https://klasma.github.io/Logging_2401/klagomålsmail/A 3816-2021 FSC-klagomål mail.docx", "A 3816-2021")</f>
        <v/>
      </c>
      <c r="X1167">
        <f>HYPERLINK("https://klasma.github.io/Logging_2401/tillsyn/A 3816-2021 tillsynsbegäran.docx", "A 3816-2021")</f>
        <v/>
      </c>
      <c r="Y1167">
        <f>HYPERLINK("https://klasma.github.io/Logging_2401/tillsynsmail/A 3816-2021 tillsynsbegäran mail.docx", "A 3816-2021")</f>
        <v/>
      </c>
    </row>
    <row r="1168" ht="15" customHeight="1">
      <c r="A1168" t="inlineStr">
        <is>
          <t>A 6210-2021</t>
        </is>
      </c>
      <c r="B1168" s="1" t="n">
        <v>44232</v>
      </c>
      <c r="C1168" s="1" t="n">
        <v>45792</v>
      </c>
      <c r="D1168" t="inlineStr">
        <is>
          <t>VÄSTERBOTTENS LÄN</t>
        </is>
      </c>
      <c r="E1168" t="inlineStr">
        <is>
          <t>STORUMAN</t>
        </is>
      </c>
      <c r="G1168" t="n">
        <v>14</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6210-2021 artfynd.xlsx", "A 6210-2021")</f>
        <v/>
      </c>
      <c r="T1168">
        <f>HYPERLINK("https://klasma.github.io/Logging_2421/kartor/A 6210-2021 karta.png", "A 6210-2021")</f>
        <v/>
      </c>
      <c r="V1168">
        <f>HYPERLINK("https://klasma.github.io/Logging_2421/klagomål/A 6210-2021 FSC-klagomål.docx", "A 6210-2021")</f>
        <v/>
      </c>
      <c r="W1168">
        <f>HYPERLINK("https://klasma.github.io/Logging_2421/klagomålsmail/A 6210-2021 FSC-klagomål mail.docx", "A 6210-2021")</f>
        <v/>
      </c>
      <c r="X1168">
        <f>HYPERLINK("https://klasma.github.io/Logging_2421/tillsyn/A 6210-2021 tillsynsbegäran.docx", "A 6210-2021")</f>
        <v/>
      </c>
      <c r="Y1168">
        <f>HYPERLINK("https://klasma.github.io/Logging_2421/tillsynsmail/A 6210-2021 tillsynsbegäran mail.docx", "A 6210-2021")</f>
        <v/>
      </c>
    </row>
    <row r="1169" ht="15" customHeight="1">
      <c r="A1169" t="inlineStr">
        <is>
          <t>A 6852-2021</t>
        </is>
      </c>
      <c r="B1169" s="1" t="n">
        <v>44237</v>
      </c>
      <c r="C1169" s="1" t="n">
        <v>45792</v>
      </c>
      <c r="D1169" t="inlineStr">
        <is>
          <t>VÄSTERBOTTENS LÄN</t>
        </is>
      </c>
      <c r="E1169" t="inlineStr">
        <is>
          <t>STORUMAN</t>
        </is>
      </c>
      <c r="F1169" t="inlineStr">
        <is>
          <t>Sveaskog</t>
        </is>
      </c>
      <c r="G1169" t="n">
        <v>6.7</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HYPERLINK("https://klasma.github.io/Logging_2421/artfynd/A 6852-2021 artfynd.xlsx", "A 6852-2021")</f>
        <v/>
      </c>
      <c r="T1169">
        <f>HYPERLINK("https://klasma.github.io/Logging_2421/kartor/A 6852-2021 karta.png", "A 6852-2021")</f>
        <v/>
      </c>
      <c r="V1169">
        <f>HYPERLINK("https://klasma.github.io/Logging_2421/klagomål/A 6852-2021 FSC-klagomål.docx", "A 6852-2021")</f>
        <v/>
      </c>
      <c r="W1169">
        <f>HYPERLINK("https://klasma.github.io/Logging_2421/klagomålsmail/A 6852-2021 FSC-klagomål mail.docx", "A 6852-2021")</f>
        <v/>
      </c>
      <c r="X1169">
        <f>HYPERLINK("https://klasma.github.io/Logging_2421/tillsyn/A 6852-2021 tillsynsbegäran.docx", "A 6852-2021")</f>
        <v/>
      </c>
      <c r="Y1169">
        <f>HYPERLINK("https://klasma.github.io/Logging_2421/tillsynsmail/A 6852-2021 tillsynsbegäran mail.docx", "A 6852-2021")</f>
        <v/>
      </c>
    </row>
    <row r="1170" ht="15" customHeight="1">
      <c r="A1170" t="inlineStr">
        <is>
          <t>A 10340-2021</t>
        </is>
      </c>
      <c r="B1170" s="1" t="n">
        <v>44257</v>
      </c>
      <c r="C1170" s="1" t="n">
        <v>45792</v>
      </c>
      <c r="D1170" t="inlineStr">
        <is>
          <t>VÄSTERBOTTENS LÄN</t>
        </is>
      </c>
      <c r="E1170" t="inlineStr">
        <is>
          <t>VINDELN</t>
        </is>
      </c>
      <c r="F1170" t="inlineStr">
        <is>
          <t>Sveaskog</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10340-2021 artfynd.xlsx", "A 10340-2021")</f>
        <v/>
      </c>
      <c r="T1170">
        <f>HYPERLINK("https://klasma.github.io/Logging_2404/kartor/A 10340-2021 karta.png", "A 10340-2021")</f>
        <v/>
      </c>
      <c r="V1170">
        <f>HYPERLINK("https://klasma.github.io/Logging_2404/klagomål/A 10340-2021 FSC-klagomål.docx", "A 10340-2021")</f>
        <v/>
      </c>
      <c r="W1170">
        <f>HYPERLINK("https://klasma.github.io/Logging_2404/klagomålsmail/A 10340-2021 FSC-klagomål mail.docx", "A 10340-2021")</f>
        <v/>
      </c>
      <c r="X1170">
        <f>HYPERLINK("https://klasma.github.io/Logging_2404/tillsyn/A 10340-2021 tillsynsbegäran.docx", "A 10340-2021")</f>
        <v/>
      </c>
      <c r="Y1170">
        <f>HYPERLINK("https://klasma.github.io/Logging_2404/tillsynsmail/A 10340-2021 tillsynsbegäran mail.docx", "A 10340-2021")</f>
        <v/>
      </c>
    </row>
    <row r="1171" ht="15" customHeight="1">
      <c r="A1171" t="inlineStr">
        <is>
          <t>A 11845-2021</t>
        </is>
      </c>
      <c r="B1171" s="1" t="n">
        <v>44265</v>
      </c>
      <c r="C1171" s="1" t="n">
        <v>45792</v>
      </c>
      <c r="D1171" t="inlineStr">
        <is>
          <t>VÄSTERBOTTENS LÄN</t>
        </is>
      </c>
      <c r="E1171" t="inlineStr">
        <is>
          <t>SORSELE</t>
        </is>
      </c>
      <c r="G1171" t="n">
        <v>2.8</v>
      </c>
      <c r="H1171" t="n">
        <v>0</v>
      </c>
      <c r="I1171" t="n">
        <v>0</v>
      </c>
      <c r="J1171" t="n">
        <v>1</v>
      </c>
      <c r="K1171" t="n">
        <v>0</v>
      </c>
      <c r="L1171" t="n">
        <v>0</v>
      </c>
      <c r="M1171" t="n">
        <v>0</v>
      </c>
      <c r="N1171" t="n">
        <v>0</v>
      </c>
      <c r="O1171" t="n">
        <v>1</v>
      </c>
      <c r="P1171" t="n">
        <v>0</v>
      </c>
      <c r="Q1171" t="n">
        <v>1</v>
      </c>
      <c r="R1171" s="2" t="inlineStr">
        <is>
          <t>Blå taggsvamp</t>
        </is>
      </c>
      <c r="S1171">
        <f>HYPERLINK("https://klasma.github.io/Logging_2422/artfynd/A 11845-2021 artfynd.xlsx", "A 11845-2021")</f>
        <v/>
      </c>
      <c r="T1171">
        <f>HYPERLINK("https://klasma.github.io/Logging_2422/kartor/A 11845-2021 karta.png", "A 11845-2021")</f>
        <v/>
      </c>
      <c r="V1171">
        <f>HYPERLINK("https://klasma.github.io/Logging_2422/klagomål/A 11845-2021 FSC-klagomål.docx", "A 11845-2021")</f>
        <v/>
      </c>
      <c r="W1171">
        <f>HYPERLINK("https://klasma.github.io/Logging_2422/klagomålsmail/A 11845-2021 FSC-klagomål mail.docx", "A 11845-2021")</f>
        <v/>
      </c>
      <c r="X1171">
        <f>HYPERLINK("https://klasma.github.io/Logging_2422/tillsyn/A 11845-2021 tillsynsbegäran.docx", "A 11845-2021")</f>
        <v/>
      </c>
      <c r="Y1171">
        <f>HYPERLINK("https://klasma.github.io/Logging_2422/tillsynsmail/A 11845-2021 tillsynsbegäran mail.docx", "A 11845-2021")</f>
        <v/>
      </c>
    </row>
    <row r="1172" ht="15" customHeight="1">
      <c r="A1172" t="inlineStr">
        <is>
          <t>A 14083-2021</t>
        </is>
      </c>
      <c r="B1172" s="1" t="n">
        <v>44277</v>
      </c>
      <c r="C1172" s="1" t="n">
        <v>45792</v>
      </c>
      <c r="D1172" t="inlineStr">
        <is>
          <t>VÄSTERBOTTENS LÄN</t>
        </is>
      </c>
      <c r="E1172" t="inlineStr">
        <is>
          <t>BJURHOLM</t>
        </is>
      </c>
      <c r="F1172" t="inlineStr">
        <is>
          <t>SCA</t>
        </is>
      </c>
      <c r="G1172" t="n">
        <v>15.1</v>
      </c>
      <c r="H1172" t="n">
        <v>0</v>
      </c>
      <c r="I1172" t="n">
        <v>0</v>
      </c>
      <c r="J1172" t="n">
        <v>1</v>
      </c>
      <c r="K1172" t="n">
        <v>0</v>
      </c>
      <c r="L1172" t="n">
        <v>0</v>
      </c>
      <c r="M1172" t="n">
        <v>0</v>
      </c>
      <c r="N1172" t="n">
        <v>0</v>
      </c>
      <c r="O1172" t="n">
        <v>1</v>
      </c>
      <c r="P1172" t="n">
        <v>0</v>
      </c>
      <c r="Q1172" t="n">
        <v>1</v>
      </c>
      <c r="R1172" s="2" t="inlineStr">
        <is>
          <t>Dvärgbägarlav</t>
        </is>
      </c>
      <c r="S1172">
        <f>HYPERLINK("https://klasma.github.io/Logging_2403/artfynd/A 14083-2021 artfynd.xlsx", "A 14083-2021")</f>
        <v/>
      </c>
      <c r="T1172">
        <f>HYPERLINK("https://klasma.github.io/Logging_2403/kartor/A 14083-2021 karta.png", "A 14083-2021")</f>
        <v/>
      </c>
      <c r="V1172">
        <f>HYPERLINK("https://klasma.github.io/Logging_2403/klagomål/A 14083-2021 FSC-klagomål.docx", "A 14083-2021")</f>
        <v/>
      </c>
      <c r="W1172">
        <f>HYPERLINK("https://klasma.github.io/Logging_2403/klagomålsmail/A 14083-2021 FSC-klagomål mail.docx", "A 14083-2021")</f>
        <v/>
      </c>
      <c r="X1172">
        <f>HYPERLINK("https://klasma.github.io/Logging_2403/tillsyn/A 14083-2021 tillsynsbegäran.docx", "A 14083-2021")</f>
        <v/>
      </c>
      <c r="Y1172">
        <f>HYPERLINK("https://klasma.github.io/Logging_2403/tillsynsmail/A 14083-2021 tillsynsbegäran mail.docx", "A 14083-2021")</f>
        <v/>
      </c>
    </row>
    <row r="1173" ht="15" customHeight="1">
      <c r="A1173" t="inlineStr">
        <is>
          <t>A 14088-2021</t>
        </is>
      </c>
      <c r="B1173" s="1" t="n">
        <v>44277</v>
      </c>
      <c r="C1173" s="1" t="n">
        <v>45792</v>
      </c>
      <c r="D1173" t="inlineStr">
        <is>
          <t>VÄSTERBOTTENS LÄN</t>
        </is>
      </c>
      <c r="E1173" t="inlineStr">
        <is>
          <t>BJURHOLM</t>
        </is>
      </c>
      <c r="F1173" t="inlineStr">
        <is>
          <t>SCA</t>
        </is>
      </c>
      <c r="G1173" t="n">
        <v>7.6</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14088-2021 artfynd.xlsx", "A 14088-2021")</f>
        <v/>
      </c>
      <c r="T1173">
        <f>HYPERLINK("https://klasma.github.io/Logging_2403/kartor/A 14088-2021 karta.png", "A 14088-2021")</f>
        <v/>
      </c>
      <c r="V1173">
        <f>HYPERLINK("https://klasma.github.io/Logging_2403/klagomål/A 14088-2021 FSC-klagomål.docx", "A 14088-2021")</f>
        <v/>
      </c>
      <c r="W1173">
        <f>HYPERLINK("https://klasma.github.io/Logging_2403/klagomålsmail/A 14088-2021 FSC-klagomål mail.docx", "A 14088-2021")</f>
        <v/>
      </c>
      <c r="X1173">
        <f>HYPERLINK("https://klasma.github.io/Logging_2403/tillsyn/A 14088-2021 tillsynsbegäran.docx", "A 14088-2021")</f>
        <v/>
      </c>
      <c r="Y1173">
        <f>HYPERLINK("https://klasma.github.io/Logging_2403/tillsynsmail/A 14088-2021 tillsynsbegäran mail.docx", "A 14088-2021")</f>
        <v/>
      </c>
    </row>
    <row r="1174" ht="15" customHeight="1">
      <c r="A1174" t="inlineStr">
        <is>
          <t>A 14857-2021</t>
        </is>
      </c>
      <c r="B1174" s="1" t="n">
        <v>44280</v>
      </c>
      <c r="C1174" s="1" t="n">
        <v>45792</v>
      </c>
      <c r="D1174" t="inlineStr">
        <is>
          <t>VÄSTERBOTTENS LÄN</t>
        </is>
      </c>
      <c r="E1174" t="inlineStr">
        <is>
          <t>SKELLEFTEÅ</t>
        </is>
      </c>
      <c r="F1174" t="inlineStr">
        <is>
          <t>SCA</t>
        </is>
      </c>
      <c r="G1174" t="n">
        <v>3.7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14857-2021 artfynd.xlsx", "A 14857-2021")</f>
        <v/>
      </c>
      <c r="T1174">
        <f>HYPERLINK("https://klasma.github.io/Logging_2482/kartor/A 14857-2021 karta.png", "A 14857-2021")</f>
        <v/>
      </c>
      <c r="V1174">
        <f>HYPERLINK("https://klasma.github.io/Logging_2482/klagomål/A 14857-2021 FSC-klagomål.docx", "A 14857-2021")</f>
        <v/>
      </c>
      <c r="W1174">
        <f>HYPERLINK("https://klasma.github.io/Logging_2482/klagomålsmail/A 14857-2021 FSC-klagomål mail.docx", "A 14857-2021")</f>
        <v/>
      </c>
      <c r="X1174">
        <f>HYPERLINK("https://klasma.github.io/Logging_2482/tillsyn/A 14857-2021 tillsynsbegäran.docx", "A 14857-2021")</f>
        <v/>
      </c>
      <c r="Y1174">
        <f>HYPERLINK("https://klasma.github.io/Logging_2482/tillsynsmail/A 14857-2021 tillsynsbegäran mail.docx", "A 14857-2021")</f>
        <v/>
      </c>
      <c r="Z1174">
        <f>HYPERLINK("https://klasma.github.io/Logging_2482/fåglar/A 14857-2021 prioriterade fågelarter.docx", "A 14857-2021")</f>
        <v/>
      </c>
    </row>
    <row r="1175" ht="15" customHeight="1">
      <c r="A1175" t="inlineStr">
        <is>
          <t>A 18248-2021</t>
        </is>
      </c>
      <c r="B1175" s="1" t="n">
        <v>44305</v>
      </c>
      <c r="C1175" s="1" t="n">
        <v>45792</v>
      </c>
      <c r="D1175" t="inlineStr">
        <is>
          <t>VÄSTERBOTTENS LÄN</t>
        </is>
      </c>
      <c r="E1175" t="inlineStr">
        <is>
          <t>UMEÅ</t>
        </is>
      </c>
      <c r="G1175" t="n">
        <v>22</v>
      </c>
      <c r="H1175" t="n">
        <v>1</v>
      </c>
      <c r="I1175" t="n">
        <v>0</v>
      </c>
      <c r="J1175" t="n">
        <v>0</v>
      </c>
      <c r="K1175" t="n">
        <v>0</v>
      </c>
      <c r="L1175" t="n">
        <v>0</v>
      </c>
      <c r="M1175" t="n">
        <v>0</v>
      </c>
      <c r="N1175" t="n">
        <v>0</v>
      </c>
      <c r="O1175" t="n">
        <v>0</v>
      </c>
      <c r="P1175" t="n">
        <v>0</v>
      </c>
      <c r="Q1175" t="n">
        <v>1</v>
      </c>
      <c r="R1175" s="2" t="inlineStr">
        <is>
          <t>Bivråk</t>
        </is>
      </c>
      <c r="S1175">
        <f>HYPERLINK("https://klasma.github.io/Logging_2480/artfynd/A 18248-2021 artfynd.xlsx", "A 18248-2021")</f>
        <v/>
      </c>
      <c r="T1175">
        <f>HYPERLINK("https://klasma.github.io/Logging_2480/kartor/A 18248-2021 karta.png", "A 18248-2021")</f>
        <v/>
      </c>
      <c r="V1175">
        <f>HYPERLINK("https://klasma.github.io/Logging_2480/klagomål/A 18248-2021 FSC-klagomål.docx", "A 18248-2021")</f>
        <v/>
      </c>
      <c r="W1175">
        <f>HYPERLINK("https://klasma.github.io/Logging_2480/klagomålsmail/A 18248-2021 FSC-klagomål mail.docx", "A 18248-2021")</f>
        <v/>
      </c>
      <c r="X1175">
        <f>HYPERLINK("https://klasma.github.io/Logging_2480/tillsyn/A 18248-2021 tillsynsbegäran.docx", "A 18248-2021")</f>
        <v/>
      </c>
      <c r="Y1175">
        <f>HYPERLINK("https://klasma.github.io/Logging_2480/tillsynsmail/A 18248-2021 tillsynsbegäran mail.docx", "A 18248-2021")</f>
        <v/>
      </c>
      <c r="Z1175">
        <f>HYPERLINK("https://klasma.github.io/Logging_2480/fåglar/A 18248-2021 prioriterade fågelarter.docx", "A 18248-2021")</f>
        <v/>
      </c>
    </row>
    <row r="1176" ht="15" customHeight="1">
      <c r="A1176" t="inlineStr">
        <is>
          <t>A 19713-2021</t>
        </is>
      </c>
      <c r="B1176" s="1" t="n">
        <v>44312</v>
      </c>
      <c r="C1176" s="1" t="n">
        <v>45792</v>
      </c>
      <c r="D1176" t="inlineStr">
        <is>
          <t>VÄSTERBOTTENS LÄN</t>
        </is>
      </c>
      <c r="E1176" t="inlineStr">
        <is>
          <t>STORUMAN</t>
        </is>
      </c>
      <c r="G1176" t="n">
        <v>1.6</v>
      </c>
      <c r="H1176" t="n">
        <v>1</v>
      </c>
      <c r="I1176" t="n">
        <v>0</v>
      </c>
      <c r="J1176" t="n">
        <v>0</v>
      </c>
      <c r="K1176" t="n">
        <v>1</v>
      </c>
      <c r="L1176" t="n">
        <v>0</v>
      </c>
      <c r="M1176" t="n">
        <v>0</v>
      </c>
      <c r="N1176" t="n">
        <v>0</v>
      </c>
      <c r="O1176" t="n">
        <v>1</v>
      </c>
      <c r="P1176" t="n">
        <v>1</v>
      </c>
      <c r="Q1176" t="n">
        <v>1</v>
      </c>
      <c r="R1176" s="2" t="inlineStr">
        <is>
          <t>Knärot</t>
        </is>
      </c>
      <c r="S1176">
        <f>HYPERLINK("https://klasma.github.io/Logging_2421/artfynd/A 19713-2021 artfynd.xlsx", "A 19713-2021")</f>
        <v/>
      </c>
      <c r="T1176">
        <f>HYPERLINK("https://klasma.github.io/Logging_2421/kartor/A 19713-2021 karta.png", "A 19713-2021")</f>
        <v/>
      </c>
      <c r="U1176">
        <f>HYPERLINK("https://klasma.github.io/Logging_2421/knärot/A 19713-2021 karta knärot.png", "A 19713-2021")</f>
        <v/>
      </c>
      <c r="V1176">
        <f>HYPERLINK("https://klasma.github.io/Logging_2421/klagomål/A 19713-2021 FSC-klagomål.docx", "A 19713-2021")</f>
        <v/>
      </c>
      <c r="W1176">
        <f>HYPERLINK("https://klasma.github.io/Logging_2421/klagomålsmail/A 19713-2021 FSC-klagomål mail.docx", "A 19713-2021")</f>
        <v/>
      </c>
      <c r="X1176">
        <f>HYPERLINK("https://klasma.github.io/Logging_2421/tillsyn/A 19713-2021 tillsynsbegäran.docx", "A 19713-2021")</f>
        <v/>
      </c>
      <c r="Y1176">
        <f>HYPERLINK("https://klasma.github.io/Logging_2421/tillsynsmail/A 19713-2021 tillsynsbegäran mail.docx", "A 19713-2021")</f>
        <v/>
      </c>
    </row>
    <row r="1177" ht="15" customHeight="1">
      <c r="A1177" t="inlineStr">
        <is>
          <t>A 27850-2021</t>
        </is>
      </c>
      <c r="B1177" s="1" t="n">
        <v>44354</v>
      </c>
      <c r="C1177" s="1" t="n">
        <v>45792</v>
      </c>
      <c r="D1177" t="inlineStr">
        <is>
          <t>VÄSTERBOTTENS LÄN</t>
        </is>
      </c>
      <c r="E1177" t="inlineStr">
        <is>
          <t>NORDMALING</t>
        </is>
      </c>
      <c r="F1177" t="inlineStr">
        <is>
          <t>Kyrkan</t>
        </is>
      </c>
      <c r="G1177" t="n">
        <v>1.2</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HYPERLINK("https://klasma.github.io/Logging_2401/artfynd/A 27850-2021 artfynd.xlsx", "A 27850-2021")</f>
        <v/>
      </c>
      <c r="T1177">
        <f>HYPERLINK("https://klasma.github.io/Logging_2401/kartor/A 27850-2021 karta.png", "A 27850-2021")</f>
        <v/>
      </c>
      <c r="V1177">
        <f>HYPERLINK("https://klasma.github.io/Logging_2401/klagomål/A 27850-2021 FSC-klagomål.docx", "A 27850-2021")</f>
        <v/>
      </c>
      <c r="W1177">
        <f>HYPERLINK("https://klasma.github.io/Logging_2401/klagomålsmail/A 27850-2021 FSC-klagomål mail.docx", "A 27850-2021")</f>
        <v/>
      </c>
      <c r="X1177">
        <f>HYPERLINK("https://klasma.github.io/Logging_2401/tillsyn/A 27850-2021 tillsynsbegäran.docx", "A 27850-2021")</f>
        <v/>
      </c>
      <c r="Y1177">
        <f>HYPERLINK("https://klasma.github.io/Logging_2401/tillsynsmail/A 27850-2021 tillsynsbegäran mail.docx", "A 27850-2021")</f>
        <v/>
      </c>
    </row>
    <row r="1178" ht="15" customHeight="1">
      <c r="A1178" t="inlineStr">
        <is>
          <t>A 29376-2021</t>
        </is>
      </c>
      <c r="B1178" s="1" t="n">
        <v>44361</v>
      </c>
      <c r="C1178" s="1" t="n">
        <v>45792</v>
      </c>
      <c r="D1178" t="inlineStr">
        <is>
          <t>VÄSTERBOTTENS LÄN</t>
        </is>
      </c>
      <c r="E1178" t="inlineStr">
        <is>
          <t>VILHELMINA</t>
        </is>
      </c>
      <c r="F1178" t="inlineStr">
        <is>
          <t>Allmännings- och besparingsskogar</t>
        </is>
      </c>
      <c r="G1178" t="n">
        <v>110.8</v>
      </c>
      <c r="H1178" t="n">
        <v>1</v>
      </c>
      <c r="I1178" t="n">
        <v>0</v>
      </c>
      <c r="J1178" t="n">
        <v>0</v>
      </c>
      <c r="K1178" t="n">
        <v>0</v>
      </c>
      <c r="L1178" t="n">
        <v>0</v>
      </c>
      <c r="M1178" t="n">
        <v>0</v>
      </c>
      <c r="N1178" t="n">
        <v>0</v>
      </c>
      <c r="O1178" t="n">
        <v>0</v>
      </c>
      <c r="P1178" t="n">
        <v>0</v>
      </c>
      <c r="Q1178" t="n">
        <v>1</v>
      </c>
      <c r="R1178" s="2" t="inlineStr">
        <is>
          <t>Lavskrika</t>
        </is>
      </c>
      <c r="S1178">
        <f>HYPERLINK("https://klasma.github.io/Logging_2462/artfynd/A 29376-2021 artfynd.xlsx", "A 29376-2021")</f>
        <v/>
      </c>
      <c r="T1178">
        <f>HYPERLINK("https://klasma.github.io/Logging_2462/kartor/A 29376-2021 karta.png", "A 29376-2021")</f>
        <v/>
      </c>
      <c r="V1178">
        <f>HYPERLINK("https://klasma.github.io/Logging_2462/klagomål/A 29376-2021 FSC-klagomål.docx", "A 29376-2021")</f>
        <v/>
      </c>
      <c r="W1178">
        <f>HYPERLINK("https://klasma.github.io/Logging_2462/klagomålsmail/A 29376-2021 FSC-klagomål mail.docx", "A 29376-2021")</f>
        <v/>
      </c>
      <c r="X1178">
        <f>HYPERLINK("https://klasma.github.io/Logging_2462/tillsyn/A 29376-2021 tillsynsbegäran.docx", "A 29376-2021")</f>
        <v/>
      </c>
      <c r="Y1178">
        <f>HYPERLINK("https://klasma.github.io/Logging_2462/tillsynsmail/A 29376-2021 tillsynsbegäran mail.docx", "A 29376-2021")</f>
        <v/>
      </c>
      <c r="Z1178">
        <f>HYPERLINK("https://klasma.github.io/Logging_2462/fåglar/A 29376-2021 prioriterade fågelarter.docx", "A 29376-2021")</f>
        <v/>
      </c>
    </row>
    <row r="1179" ht="15" customHeight="1">
      <c r="A1179" t="inlineStr">
        <is>
          <t>A 31355-2021</t>
        </is>
      </c>
      <c r="B1179" s="1" t="n">
        <v>44369</v>
      </c>
      <c r="C1179" s="1" t="n">
        <v>45792</v>
      </c>
      <c r="D1179" t="inlineStr">
        <is>
          <t>VÄSTERBOTTENS LÄN</t>
        </is>
      </c>
      <c r="E1179" t="inlineStr">
        <is>
          <t>NORDMALING</t>
        </is>
      </c>
      <c r="F1179" t="inlineStr">
        <is>
          <t>SCA</t>
        </is>
      </c>
      <c r="G1179" t="n">
        <v>5.1</v>
      </c>
      <c r="H1179" t="n">
        <v>0</v>
      </c>
      <c r="I1179" t="n">
        <v>0</v>
      </c>
      <c r="J1179" t="n">
        <v>1</v>
      </c>
      <c r="K1179" t="n">
        <v>0</v>
      </c>
      <c r="L1179" t="n">
        <v>0</v>
      </c>
      <c r="M1179" t="n">
        <v>0</v>
      </c>
      <c r="N1179" t="n">
        <v>0</v>
      </c>
      <c r="O1179" t="n">
        <v>1</v>
      </c>
      <c r="P1179" t="n">
        <v>0</v>
      </c>
      <c r="Q1179" t="n">
        <v>1</v>
      </c>
      <c r="R1179" s="2" t="inlineStr">
        <is>
          <t>Garnlav</t>
        </is>
      </c>
      <c r="S1179">
        <f>HYPERLINK("https://klasma.github.io/Logging_2401/artfynd/A 31355-2021 artfynd.xlsx", "A 31355-2021")</f>
        <v/>
      </c>
      <c r="T1179">
        <f>HYPERLINK("https://klasma.github.io/Logging_2401/kartor/A 31355-2021 karta.png", "A 31355-2021")</f>
        <v/>
      </c>
      <c r="V1179">
        <f>HYPERLINK("https://klasma.github.io/Logging_2401/klagomål/A 31355-2021 FSC-klagomål.docx", "A 31355-2021")</f>
        <v/>
      </c>
      <c r="W1179">
        <f>HYPERLINK("https://klasma.github.io/Logging_2401/klagomålsmail/A 31355-2021 FSC-klagomål mail.docx", "A 31355-2021")</f>
        <v/>
      </c>
      <c r="X1179">
        <f>HYPERLINK("https://klasma.github.io/Logging_2401/tillsyn/A 31355-2021 tillsynsbegäran.docx", "A 31355-2021")</f>
        <v/>
      </c>
      <c r="Y1179">
        <f>HYPERLINK("https://klasma.github.io/Logging_2401/tillsynsmail/A 31355-2021 tillsynsbegäran mail.docx", "A 31355-2021")</f>
        <v/>
      </c>
    </row>
    <row r="1180" ht="15" customHeight="1">
      <c r="A1180" t="inlineStr">
        <is>
          <t>A 31460-2021</t>
        </is>
      </c>
      <c r="B1180" s="1" t="n">
        <v>44369</v>
      </c>
      <c r="C1180" s="1" t="n">
        <v>45792</v>
      </c>
      <c r="D1180" t="inlineStr">
        <is>
          <t>VÄSTERBOTTENS LÄN</t>
        </is>
      </c>
      <c r="E1180" t="inlineStr">
        <is>
          <t>LYCKSELE</t>
        </is>
      </c>
      <c r="F1180" t="inlineStr">
        <is>
          <t>Sveaskog</t>
        </is>
      </c>
      <c r="G1180" t="n">
        <v>6.3</v>
      </c>
      <c r="H1180" t="n">
        <v>0</v>
      </c>
      <c r="I1180" t="n">
        <v>0</v>
      </c>
      <c r="J1180" t="n">
        <v>1</v>
      </c>
      <c r="K1180" t="n">
        <v>0</v>
      </c>
      <c r="L1180" t="n">
        <v>0</v>
      </c>
      <c r="M1180" t="n">
        <v>0</v>
      </c>
      <c r="N1180" t="n">
        <v>0</v>
      </c>
      <c r="O1180" t="n">
        <v>1</v>
      </c>
      <c r="P1180" t="n">
        <v>0</v>
      </c>
      <c r="Q1180" t="n">
        <v>1</v>
      </c>
      <c r="R1180" s="2" t="inlineStr">
        <is>
          <t>Nordtagging</t>
        </is>
      </c>
      <c r="S1180">
        <f>HYPERLINK("https://klasma.github.io/Logging_2481/artfynd/A 31460-2021 artfynd.xlsx", "A 31460-2021")</f>
        <v/>
      </c>
      <c r="T1180">
        <f>HYPERLINK("https://klasma.github.io/Logging_2481/kartor/A 31460-2021 karta.png", "A 31460-2021")</f>
        <v/>
      </c>
      <c r="V1180">
        <f>HYPERLINK("https://klasma.github.io/Logging_2481/klagomål/A 31460-2021 FSC-klagomål.docx", "A 31460-2021")</f>
        <v/>
      </c>
      <c r="W1180">
        <f>HYPERLINK("https://klasma.github.io/Logging_2481/klagomålsmail/A 31460-2021 FSC-klagomål mail.docx", "A 31460-2021")</f>
        <v/>
      </c>
      <c r="X1180">
        <f>HYPERLINK("https://klasma.github.io/Logging_2481/tillsyn/A 31460-2021 tillsynsbegäran.docx", "A 31460-2021")</f>
        <v/>
      </c>
      <c r="Y1180">
        <f>HYPERLINK("https://klasma.github.io/Logging_2481/tillsynsmail/A 31460-2021 tillsynsbegäran mail.docx", "A 31460-2021")</f>
        <v/>
      </c>
    </row>
    <row r="1181" ht="15" customHeight="1">
      <c r="A1181" t="inlineStr">
        <is>
          <t>A 32677-2021</t>
        </is>
      </c>
      <c r="B1181" s="1" t="n">
        <v>44371</v>
      </c>
      <c r="C1181" s="1" t="n">
        <v>45792</v>
      </c>
      <c r="D1181" t="inlineStr">
        <is>
          <t>VÄSTERBOTTENS LÄN</t>
        </is>
      </c>
      <c r="E1181" t="inlineStr">
        <is>
          <t>VILHELMINA</t>
        </is>
      </c>
      <c r="G1181" t="n">
        <v>9.699999999999999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32677-2021 artfynd.xlsx", "A 32677-2021")</f>
        <v/>
      </c>
      <c r="T1181">
        <f>HYPERLINK("https://klasma.github.io/Logging_2462/kartor/A 32677-2021 karta.png", "A 32677-2021")</f>
        <v/>
      </c>
      <c r="V1181">
        <f>HYPERLINK("https://klasma.github.io/Logging_2462/klagomål/A 32677-2021 FSC-klagomål.docx", "A 32677-2021")</f>
        <v/>
      </c>
      <c r="W1181">
        <f>HYPERLINK("https://klasma.github.io/Logging_2462/klagomålsmail/A 32677-2021 FSC-klagomål mail.docx", "A 32677-2021")</f>
        <v/>
      </c>
      <c r="X1181">
        <f>HYPERLINK("https://klasma.github.io/Logging_2462/tillsyn/A 32677-2021 tillsynsbegäran.docx", "A 32677-2021")</f>
        <v/>
      </c>
      <c r="Y1181">
        <f>HYPERLINK("https://klasma.github.io/Logging_2462/tillsynsmail/A 32677-2021 tillsynsbegäran mail.docx", "A 32677-2021")</f>
        <v/>
      </c>
      <c r="Z1181">
        <f>HYPERLINK("https://klasma.github.io/Logging_2462/fåglar/A 32677-2021 prioriterade fågelarter.docx", "A 32677-2021")</f>
        <v/>
      </c>
    </row>
    <row r="1182" ht="15" customHeight="1">
      <c r="A1182" t="inlineStr">
        <is>
          <t>A 32964-2021</t>
        </is>
      </c>
      <c r="B1182" s="1" t="n">
        <v>44376</v>
      </c>
      <c r="C1182" s="1" t="n">
        <v>45792</v>
      </c>
      <c r="D1182" t="inlineStr">
        <is>
          <t>VÄSTERBOTTENS LÄN</t>
        </is>
      </c>
      <c r="E1182" t="inlineStr">
        <is>
          <t>SKELLEFTEÅ</t>
        </is>
      </c>
      <c r="G1182" t="n">
        <v>16</v>
      </c>
      <c r="H1182" t="n">
        <v>0</v>
      </c>
      <c r="I1182" t="n">
        <v>0</v>
      </c>
      <c r="J1182" t="n">
        <v>1</v>
      </c>
      <c r="K1182" t="n">
        <v>0</v>
      </c>
      <c r="L1182" t="n">
        <v>0</v>
      </c>
      <c r="M1182" t="n">
        <v>0</v>
      </c>
      <c r="N1182" t="n">
        <v>0</v>
      </c>
      <c r="O1182" t="n">
        <v>1</v>
      </c>
      <c r="P1182" t="n">
        <v>0</v>
      </c>
      <c r="Q1182" t="n">
        <v>1</v>
      </c>
      <c r="R1182" s="2" t="inlineStr">
        <is>
          <t>Kådvaxskinn</t>
        </is>
      </c>
      <c r="S1182">
        <f>HYPERLINK("https://klasma.github.io/Logging_2482/artfynd/A 32964-2021 artfynd.xlsx", "A 32964-2021")</f>
        <v/>
      </c>
      <c r="T1182">
        <f>HYPERLINK("https://klasma.github.io/Logging_2482/kartor/A 32964-2021 karta.png", "A 32964-2021")</f>
        <v/>
      </c>
      <c r="V1182">
        <f>HYPERLINK("https://klasma.github.io/Logging_2482/klagomål/A 32964-2021 FSC-klagomål.docx", "A 32964-2021")</f>
        <v/>
      </c>
      <c r="W1182">
        <f>HYPERLINK("https://klasma.github.io/Logging_2482/klagomålsmail/A 32964-2021 FSC-klagomål mail.docx", "A 32964-2021")</f>
        <v/>
      </c>
      <c r="X1182">
        <f>HYPERLINK("https://klasma.github.io/Logging_2482/tillsyn/A 32964-2021 tillsynsbegäran.docx", "A 32964-2021")</f>
        <v/>
      </c>
      <c r="Y1182">
        <f>HYPERLINK("https://klasma.github.io/Logging_2482/tillsynsmail/A 32964-2021 tillsynsbegäran mail.docx", "A 32964-2021")</f>
        <v/>
      </c>
    </row>
    <row r="1183" ht="15" customHeight="1">
      <c r="A1183" t="inlineStr">
        <is>
          <t>A 35047-2021</t>
        </is>
      </c>
      <c r="B1183" s="1" t="n">
        <v>44384</v>
      </c>
      <c r="C1183" s="1" t="n">
        <v>45792</v>
      </c>
      <c r="D1183" t="inlineStr">
        <is>
          <t>VÄSTERBOTTENS LÄN</t>
        </is>
      </c>
      <c r="E1183" t="inlineStr">
        <is>
          <t>SKELLEFTEÅ</t>
        </is>
      </c>
      <c r="G1183" t="n">
        <v>3.1</v>
      </c>
      <c r="H1183" t="n">
        <v>0</v>
      </c>
      <c r="I1183" t="n">
        <v>0</v>
      </c>
      <c r="J1183" t="n">
        <v>1</v>
      </c>
      <c r="K1183" t="n">
        <v>0</v>
      </c>
      <c r="L1183" t="n">
        <v>0</v>
      </c>
      <c r="M1183" t="n">
        <v>0</v>
      </c>
      <c r="N1183" t="n">
        <v>0</v>
      </c>
      <c r="O1183" t="n">
        <v>1</v>
      </c>
      <c r="P1183" t="n">
        <v>0</v>
      </c>
      <c r="Q1183" t="n">
        <v>1</v>
      </c>
      <c r="R1183" s="2" t="inlineStr">
        <is>
          <t>Garnlav</t>
        </is>
      </c>
      <c r="S1183">
        <f>HYPERLINK("https://klasma.github.io/Logging_2482/artfynd/A 35047-2021 artfynd.xlsx", "A 35047-2021")</f>
        <v/>
      </c>
      <c r="T1183">
        <f>HYPERLINK("https://klasma.github.io/Logging_2482/kartor/A 35047-2021 karta.png", "A 35047-2021")</f>
        <v/>
      </c>
      <c r="V1183">
        <f>HYPERLINK("https://klasma.github.io/Logging_2482/klagomål/A 35047-2021 FSC-klagomål.docx", "A 35047-2021")</f>
        <v/>
      </c>
      <c r="W1183">
        <f>HYPERLINK("https://klasma.github.io/Logging_2482/klagomålsmail/A 35047-2021 FSC-klagomål mail.docx", "A 35047-2021")</f>
        <v/>
      </c>
      <c r="X1183">
        <f>HYPERLINK("https://klasma.github.io/Logging_2482/tillsyn/A 35047-2021 tillsynsbegäran.docx", "A 35047-2021")</f>
        <v/>
      </c>
      <c r="Y1183">
        <f>HYPERLINK("https://klasma.github.io/Logging_2482/tillsynsmail/A 35047-2021 tillsynsbegäran mail.docx", "A 35047-2021")</f>
        <v/>
      </c>
    </row>
    <row r="1184" ht="15" customHeight="1">
      <c r="A1184" t="inlineStr">
        <is>
          <t>A 35625-2021</t>
        </is>
      </c>
      <c r="B1184" s="1" t="n">
        <v>44386</v>
      </c>
      <c r="C1184" s="1" t="n">
        <v>45792</v>
      </c>
      <c r="D1184" t="inlineStr">
        <is>
          <t>VÄSTERBOTTENS LÄN</t>
        </is>
      </c>
      <c r="E1184" t="inlineStr">
        <is>
          <t>SKELLEFTEÅ</t>
        </is>
      </c>
      <c r="F1184" t="inlineStr">
        <is>
          <t>Holmen skog AB</t>
        </is>
      </c>
      <c r="G1184" t="n">
        <v>3.5</v>
      </c>
      <c r="H1184" t="n">
        <v>0</v>
      </c>
      <c r="I1184" t="n">
        <v>1</v>
      </c>
      <c r="J1184" t="n">
        <v>0</v>
      </c>
      <c r="K1184" t="n">
        <v>0</v>
      </c>
      <c r="L1184" t="n">
        <v>0</v>
      </c>
      <c r="M1184" t="n">
        <v>0</v>
      </c>
      <c r="N1184" t="n">
        <v>0</v>
      </c>
      <c r="O1184" t="n">
        <v>0</v>
      </c>
      <c r="P1184" t="n">
        <v>0</v>
      </c>
      <c r="Q1184" t="n">
        <v>1</v>
      </c>
      <c r="R1184" s="2" t="inlineStr">
        <is>
          <t>Vedticka</t>
        </is>
      </c>
      <c r="S1184">
        <f>HYPERLINK("https://klasma.github.io/Logging_2482/artfynd/A 35625-2021 artfynd.xlsx", "A 35625-2021")</f>
        <v/>
      </c>
      <c r="T1184">
        <f>HYPERLINK("https://klasma.github.io/Logging_2482/kartor/A 35625-2021 karta.png", "A 35625-2021")</f>
        <v/>
      </c>
      <c r="V1184">
        <f>HYPERLINK("https://klasma.github.io/Logging_2482/klagomål/A 35625-2021 FSC-klagomål.docx", "A 35625-2021")</f>
        <v/>
      </c>
      <c r="W1184">
        <f>HYPERLINK("https://klasma.github.io/Logging_2482/klagomålsmail/A 35625-2021 FSC-klagomål mail.docx", "A 35625-2021")</f>
        <v/>
      </c>
      <c r="X1184">
        <f>HYPERLINK("https://klasma.github.io/Logging_2482/tillsyn/A 35625-2021 tillsynsbegäran.docx", "A 35625-2021")</f>
        <v/>
      </c>
      <c r="Y1184">
        <f>HYPERLINK("https://klasma.github.io/Logging_2482/tillsynsmail/A 35625-2021 tillsynsbegäran mail.docx", "A 35625-2021")</f>
        <v/>
      </c>
    </row>
    <row r="1185" ht="15" customHeight="1">
      <c r="A1185" t="inlineStr">
        <is>
          <t>A 36929-2021</t>
        </is>
      </c>
      <c r="B1185" s="1" t="n">
        <v>44393</v>
      </c>
      <c r="C1185" s="1" t="n">
        <v>45792</v>
      </c>
      <c r="D1185" t="inlineStr">
        <is>
          <t>VÄSTERBOTTENS LÄN</t>
        </is>
      </c>
      <c r="E1185" t="inlineStr">
        <is>
          <t>ÅSELE</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HYPERLINK("https://klasma.github.io/Logging_2463/artfynd/A 36929-2021 artfynd.xlsx", "A 36929-2021")</f>
        <v/>
      </c>
      <c r="T1185">
        <f>HYPERLINK("https://klasma.github.io/Logging_2463/kartor/A 36929-2021 karta.png", "A 36929-2021")</f>
        <v/>
      </c>
      <c r="V1185">
        <f>HYPERLINK("https://klasma.github.io/Logging_2463/klagomål/A 36929-2021 FSC-klagomål.docx", "A 36929-2021")</f>
        <v/>
      </c>
      <c r="W1185">
        <f>HYPERLINK("https://klasma.github.io/Logging_2463/klagomålsmail/A 36929-2021 FSC-klagomål mail.docx", "A 36929-2021")</f>
        <v/>
      </c>
      <c r="X1185">
        <f>HYPERLINK("https://klasma.github.io/Logging_2463/tillsyn/A 36929-2021 tillsynsbegäran.docx", "A 36929-2021")</f>
        <v/>
      </c>
      <c r="Y1185">
        <f>HYPERLINK("https://klasma.github.io/Logging_2463/tillsynsmail/A 36929-2021 tillsynsbegäran mail.docx", "A 36929-2021")</f>
        <v/>
      </c>
    </row>
    <row r="1186" ht="15" customHeight="1">
      <c r="A1186" t="inlineStr">
        <is>
          <t>A 36938-2021</t>
        </is>
      </c>
      <c r="B1186" s="1" t="n">
        <v>44393</v>
      </c>
      <c r="C1186" s="1" t="n">
        <v>45792</v>
      </c>
      <c r="D1186" t="inlineStr">
        <is>
          <t>VÄSTERBOTTENS LÄN</t>
        </is>
      </c>
      <c r="E1186" t="inlineStr">
        <is>
          <t>ÅSELE</t>
        </is>
      </c>
      <c r="F1186" t="inlineStr">
        <is>
          <t>Sveaskog</t>
        </is>
      </c>
      <c r="G1186" t="n">
        <v>11.1</v>
      </c>
      <c r="H1186" t="n">
        <v>0</v>
      </c>
      <c r="I1186" t="n">
        <v>0</v>
      </c>
      <c r="J1186" t="n">
        <v>1</v>
      </c>
      <c r="K1186" t="n">
        <v>0</v>
      </c>
      <c r="L1186" t="n">
        <v>0</v>
      </c>
      <c r="M1186" t="n">
        <v>0</v>
      </c>
      <c r="N1186" t="n">
        <v>0</v>
      </c>
      <c r="O1186" t="n">
        <v>1</v>
      </c>
      <c r="P1186" t="n">
        <v>0</v>
      </c>
      <c r="Q1186" t="n">
        <v>1</v>
      </c>
      <c r="R1186" s="2" t="inlineStr">
        <is>
          <t>Lunglav</t>
        </is>
      </c>
      <c r="S1186">
        <f>HYPERLINK("https://klasma.github.io/Logging_2463/artfynd/A 36938-2021 artfynd.xlsx", "A 36938-2021")</f>
        <v/>
      </c>
      <c r="T1186">
        <f>HYPERLINK("https://klasma.github.io/Logging_2463/kartor/A 36938-2021 karta.png", "A 36938-2021")</f>
        <v/>
      </c>
      <c r="V1186">
        <f>HYPERLINK("https://klasma.github.io/Logging_2463/klagomål/A 36938-2021 FSC-klagomål.docx", "A 36938-2021")</f>
        <v/>
      </c>
      <c r="W1186">
        <f>HYPERLINK("https://klasma.github.io/Logging_2463/klagomålsmail/A 36938-2021 FSC-klagomål mail.docx", "A 36938-2021")</f>
        <v/>
      </c>
      <c r="X1186">
        <f>HYPERLINK("https://klasma.github.io/Logging_2463/tillsyn/A 36938-2021 tillsynsbegäran.docx", "A 36938-2021")</f>
        <v/>
      </c>
      <c r="Y1186">
        <f>HYPERLINK("https://klasma.github.io/Logging_2463/tillsynsmail/A 36938-2021 tillsynsbegäran mail.docx", "A 36938-2021")</f>
        <v/>
      </c>
    </row>
    <row r="1187" ht="15" customHeight="1">
      <c r="A1187" t="inlineStr">
        <is>
          <t>A 37583-2021</t>
        </is>
      </c>
      <c r="B1187" s="1" t="n">
        <v>44399</v>
      </c>
      <c r="C1187" s="1" t="n">
        <v>45792</v>
      </c>
      <c r="D1187" t="inlineStr">
        <is>
          <t>VÄSTERBOTTENS LÄN</t>
        </is>
      </c>
      <c r="E1187" t="inlineStr">
        <is>
          <t>LYCKSELE</t>
        </is>
      </c>
      <c r="F1187" t="inlineStr">
        <is>
          <t>Holmen skog AB</t>
        </is>
      </c>
      <c r="G1187" t="n">
        <v>10.9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37583-2021 artfynd.xlsx", "A 37583-2021")</f>
        <v/>
      </c>
      <c r="T1187">
        <f>HYPERLINK("https://klasma.github.io/Logging_2481/kartor/A 37583-2021 karta.png", "A 37583-2021")</f>
        <v/>
      </c>
      <c r="V1187">
        <f>HYPERLINK("https://klasma.github.io/Logging_2481/klagomål/A 37583-2021 FSC-klagomål.docx", "A 37583-2021")</f>
        <v/>
      </c>
      <c r="W1187">
        <f>HYPERLINK("https://klasma.github.io/Logging_2481/klagomålsmail/A 37583-2021 FSC-klagomål mail.docx", "A 37583-2021")</f>
        <v/>
      </c>
      <c r="X1187">
        <f>HYPERLINK("https://klasma.github.io/Logging_2481/tillsyn/A 37583-2021 tillsynsbegäran.docx", "A 37583-2021")</f>
        <v/>
      </c>
      <c r="Y1187">
        <f>HYPERLINK("https://klasma.github.io/Logging_2481/tillsynsmail/A 37583-2021 tillsynsbegäran mail.docx", "A 37583-2021")</f>
        <v/>
      </c>
      <c r="Z1187">
        <f>HYPERLINK("https://klasma.github.io/Logging_2481/fåglar/A 37583-2021 prioriterade fågelarter.docx", "A 37583-2021")</f>
        <v/>
      </c>
    </row>
    <row r="1188" ht="15" customHeight="1">
      <c r="A1188" t="inlineStr">
        <is>
          <t>A 38396-2021</t>
        </is>
      </c>
      <c r="B1188" s="1" t="n">
        <v>44406</v>
      </c>
      <c r="C1188" s="1" t="n">
        <v>45792</v>
      </c>
      <c r="D1188" t="inlineStr">
        <is>
          <t>VÄSTERBOTTENS LÄN</t>
        </is>
      </c>
      <c r="E1188" t="inlineStr">
        <is>
          <t>UMEÅ</t>
        </is>
      </c>
      <c r="F1188" t="inlineStr">
        <is>
          <t>Kommuner</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HYPERLINK("https://klasma.github.io/Logging_2480/artfynd/A 38396-2021 artfynd.xlsx", "A 38396-2021")</f>
        <v/>
      </c>
      <c r="T1188">
        <f>HYPERLINK("https://klasma.github.io/Logging_2480/kartor/A 38396-2021 karta.png", "A 38396-2021")</f>
        <v/>
      </c>
      <c r="V1188">
        <f>HYPERLINK("https://klasma.github.io/Logging_2480/klagomål/A 38396-2021 FSC-klagomål.docx", "A 38396-2021")</f>
        <v/>
      </c>
      <c r="W1188">
        <f>HYPERLINK("https://klasma.github.io/Logging_2480/klagomålsmail/A 38396-2021 FSC-klagomål mail.docx", "A 38396-2021")</f>
        <v/>
      </c>
      <c r="X1188">
        <f>HYPERLINK("https://klasma.github.io/Logging_2480/tillsyn/A 38396-2021 tillsynsbegäran.docx", "A 38396-2021")</f>
        <v/>
      </c>
      <c r="Y1188">
        <f>HYPERLINK("https://klasma.github.io/Logging_2480/tillsynsmail/A 38396-2021 tillsynsbegäran mail.docx", "A 38396-2021")</f>
        <v/>
      </c>
    </row>
    <row r="1189" ht="15" customHeight="1">
      <c r="A1189" t="inlineStr">
        <is>
          <t>A 38393-2021</t>
        </is>
      </c>
      <c r="B1189" s="1" t="n">
        <v>44406</v>
      </c>
      <c r="C1189" s="1" t="n">
        <v>45792</v>
      </c>
      <c r="D1189" t="inlineStr">
        <is>
          <t>VÄSTERBOTTENS LÄN</t>
        </is>
      </c>
      <c r="E1189" t="inlineStr">
        <is>
          <t>UMEÅ</t>
        </is>
      </c>
      <c r="G1189" t="n">
        <v>1</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38393-2021 artfynd.xlsx", "A 38393-2021")</f>
        <v/>
      </c>
      <c r="T1189">
        <f>HYPERLINK("https://klasma.github.io/Logging_2480/kartor/A 38393-2021 karta.png", "A 38393-2021")</f>
        <v/>
      </c>
      <c r="V1189">
        <f>HYPERLINK("https://klasma.github.io/Logging_2480/klagomål/A 38393-2021 FSC-klagomål.docx", "A 38393-2021")</f>
        <v/>
      </c>
      <c r="W1189">
        <f>HYPERLINK("https://klasma.github.io/Logging_2480/klagomålsmail/A 38393-2021 FSC-klagomål mail.docx", "A 38393-2021")</f>
        <v/>
      </c>
      <c r="X1189">
        <f>HYPERLINK("https://klasma.github.io/Logging_2480/tillsyn/A 38393-2021 tillsynsbegäran.docx", "A 38393-2021")</f>
        <v/>
      </c>
      <c r="Y1189">
        <f>HYPERLINK("https://klasma.github.io/Logging_2480/tillsynsmail/A 38393-2021 tillsynsbegäran mail.docx", "A 38393-2021")</f>
        <v/>
      </c>
      <c r="Z1189">
        <f>HYPERLINK("https://klasma.github.io/Logging_2480/fåglar/A 38393-2021 prioriterade fågelarter.docx", "A 38393-2021")</f>
        <v/>
      </c>
    </row>
    <row r="1190" ht="15" customHeight="1">
      <c r="A1190" t="inlineStr">
        <is>
          <t>A 38390-2021</t>
        </is>
      </c>
      <c r="B1190" s="1" t="n">
        <v>44406</v>
      </c>
      <c r="C1190" s="1" t="n">
        <v>45792</v>
      </c>
      <c r="D1190" t="inlineStr">
        <is>
          <t>VÄSTERBOTTENS LÄN</t>
        </is>
      </c>
      <c r="E1190" t="inlineStr">
        <is>
          <t>UMEÅ</t>
        </is>
      </c>
      <c r="F1190" t="inlineStr">
        <is>
          <t>Övriga statliga verk och myndigheter</t>
        </is>
      </c>
      <c r="G1190" t="n">
        <v>1.5</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38390-2021 artfynd.xlsx", "A 38390-2021")</f>
        <v/>
      </c>
      <c r="T1190">
        <f>HYPERLINK("https://klasma.github.io/Logging_2480/kartor/A 38390-2021 karta.png", "A 38390-2021")</f>
        <v/>
      </c>
      <c r="V1190">
        <f>HYPERLINK("https://klasma.github.io/Logging_2480/klagomål/A 38390-2021 FSC-klagomål.docx", "A 38390-2021")</f>
        <v/>
      </c>
      <c r="W1190">
        <f>HYPERLINK("https://klasma.github.io/Logging_2480/klagomålsmail/A 38390-2021 FSC-klagomål mail.docx", "A 38390-2021")</f>
        <v/>
      </c>
      <c r="X1190">
        <f>HYPERLINK("https://klasma.github.io/Logging_2480/tillsyn/A 38390-2021 tillsynsbegäran.docx", "A 38390-2021")</f>
        <v/>
      </c>
      <c r="Y1190">
        <f>HYPERLINK("https://klasma.github.io/Logging_2480/tillsynsmail/A 38390-2021 tillsynsbegäran mail.docx", "A 38390-2021")</f>
        <v/>
      </c>
    </row>
    <row r="1191" ht="15" customHeight="1">
      <c r="A1191" t="inlineStr">
        <is>
          <t>A 38438-2021</t>
        </is>
      </c>
      <c r="B1191" s="1" t="n">
        <v>44406</v>
      </c>
      <c r="C1191" s="1" t="n">
        <v>45792</v>
      </c>
      <c r="D1191" t="inlineStr">
        <is>
          <t>VÄSTERBOTTENS LÄN</t>
        </is>
      </c>
      <c r="E1191" t="inlineStr">
        <is>
          <t>UMEÅ</t>
        </is>
      </c>
      <c r="F1191" t="inlineStr">
        <is>
          <t>Övriga statliga verk och myndigheter</t>
        </is>
      </c>
      <c r="G1191" t="n">
        <v>1.8</v>
      </c>
      <c r="H1191" t="n">
        <v>0</v>
      </c>
      <c r="I1191" t="n">
        <v>1</v>
      </c>
      <c r="J1191" t="n">
        <v>0</v>
      </c>
      <c r="K1191" t="n">
        <v>0</v>
      </c>
      <c r="L1191" t="n">
        <v>0</v>
      </c>
      <c r="M1191" t="n">
        <v>0</v>
      </c>
      <c r="N1191" t="n">
        <v>0</v>
      </c>
      <c r="O1191" t="n">
        <v>0</v>
      </c>
      <c r="P1191" t="n">
        <v>0</v>
      </c>
      <c r="Q1191" t="n">
        <v>1</v>
      </c>
      <c r="R1191" s="2" t="inlineStr">
        <is>
          <t>Tibast</t>
        </is>
      </c>
      <c r="S1191">
        <f>HYPERLINK("https://klasma.github.io/Logging_2480/artfynd/A 38438-2021 artfynd.xlsx", "A 38438-2021")</f>
        <v/>
      </c>
      <c r="T1191">
        <f>HYPERLINK("https://klasma.github.io/Logging_2480/kartor/A 38438-2021 karta.png", "A 38438-2021")</f>
        <v/>
      </c>
      <c r="V1191">
        <f>HYPERLINK("https://klasma.github.io/Logging_2480/klagomål/A 38438-2021 FSC-klagomål.docx", "A 38438-2021")</f>
        <v/>
      </c>
      <c r="W1191">
        <f>HYPERLINK("https://klasma.github.io/Logging_2480/klagomålsmail/A 38438-2021 FSC-klagomål mail.docx", "A 38438-2021")</f>
        <v/>
      </c>
      <c r="X1191">
        <f>HYPERLINK("https://klasma.github.io/Logging_2480/tillsyn/A 38438-2021 tillsynsbegäran.docx", "A 38438-2021")</f>
        <v/>
      </c>
      <c r="Y1191">
        <f>HYPERLINK("https://klasma.github.io/Logging_2480/tillsynsmail/A 38438-2021 tillsynsbegäran mail.docx", "A 38438-2021")</f>
        <v/>
      </c>
    </row>
    <row r="1192" ht="15" customHeight="1">
      <c r="A1192" t="inlineStr">
        <is>
          <t>A 38437-2021</t>
        </is>
      </c>
      <c r="B1192" s="1" t="n">
        <v>44406</v>
      </c>
      <c r="C1192" s="1" t="n">
        <v>45792</v>
      </c>
      <c r="D1192" t="inlineStr">
        <is>
          <t>VÄSTERBOTTENS LÄN</t>
        </is>
      </c>
      <c r="E1192" t="inlineStr">
        <is>
          <t>UMEÅ</t>
        </is>
      </c>
      <c r="F1192" t="inlineStr">
        <is>
          <t>Övriga statliga verk och myndigheter</t>
        </is>
      </c>
      <c r="G1192" t="n">
        <v>2.3</v>
      </c>
      <c r="H1192" t="n">
        <v>0</v>
      </c>
      <c r="I1192" t="n">
        <v>1</v>
      </c>
      <c r="J1192" t="n">
        <v>0</v>
      </c>
      <c r="K1192" t="n">
        <v>0</v>
      </c>
      <c r="L1192" t="n">
        <v>0</v>
      </c>
      <c r="M1192" t="n">
        <v>0</v>
      </c>
      <c r="N1192" t="n">
        <v>0</v>
      </c>
      <c r="O1192" t="n">
        <v>0</v>
      </c>
      <c r="P1192" t="n">
        <v>0</v>
      </c>
      <c r="Q1192" t="n">
        <v>1</v>
      </c>
      <c r="R1192" s="2" t="inlineStr">
        <is>
          <t>Tibast</t>
        </is>
      </c>
      <c r="S1192">
        <f>HYPERLINK("https://klasma.github.io/Logging_2480/artfynd/A 38437-2021 artfynd.xlsx", "A 38437-2021")</f>
        <v/>
      </c>
      <c r="T1192">
        <f>HYPERLINK("https://klasma.github.io/Logging_2480/kartor/A 38437-2021 karta.png", "A 38437-2021")</f>
        <v/>
      </c>
      <c r="V1192">
        <f>HYPERLINK("https://klasma.github.io/Logging_2480/klagomål/A 38437-2021 FSC-klagomål.docx", "A 38437-2021")</f>
        <v/>
      </c>
      <c r="W1192">
        <f>HYPERLINK("https://klasma.github.io/Logging_2480/klagomålsmail/A 38437-2021 FSC-klagomål mail.docx", "A 38437-2021")</f>
        <v/>
      </c>
      <c r="X1192">
        <f>HYPERLINK("https://klasma.github.io/Logging_2480/tillsyn/A 38437-2021 tillsynsbegäran.docx", "A 38437-2021")</f>
        <v/>
      </c>
      <c r="Y1192">
        <f>HYPERLINK("https://klasma.github.io/Logging_2480/tillsynsmail/A 38437-2021 tillsynsbegäran mail.docx", "A 38437-2021")</f>
        <v/>
      </c>
    </row>
    <row r="1193" ht="15" customHeight="1">
      <c r="A1193" t="inlineStr">
        <is>
          <t>A 38545-2021</t>
        </is>
      </c>
      <c r="B1193" s="1" t="n">
        <v>44407</v>
      </c>
      <c r="C1193" s="1" t="n">
        <v>45792</v>
      </c>
      <c r="D1193" t="inlineStr">
        <is>
          <t>VÄSTERBOTTENS LÄN</t>
        </is>
      </c>
      <c r="E1193" t="inlineStr">
        <is>
          <t>UMEÅ</t>
        </is>
      </c>
      <c r="F1193" t="inlineStr">
        <is>
          <t>Kommuner</t>
        </is>
      </c>
      <c r="G1193" t="n">
        <v>0.6</v>
      </c>
      <c r="H1193" t="n">
        <v>1</v>
      </c>
      <c r="I1193" t="n">
        <v>0</v>
      </c>
      <c r="J1193" t="n">
        <v>1</v>
      </c>
      <c r="K1193" t="n">
        <v>0</v>
      </c>
      <c r="L1193" t="n">
        <v>0</v>
      </c>
      <c r="M1193" t="n">
        <v>0</v>
      </c>
      <c r="N1193" t="n">
        <v>0</v>
      </c>
      <c r="O1193" t="n">
        <v>1</v>
      </c>
      <c r="P1193" t="n">
        <v>0</v>
      </c>
      <c r="Q1193" t="n">
        <v>1</v>
      </c>
      <c r="R1193" s="2" t="inlineStr">
        <is>
          <t>Järpe</t>
        </is>
      </c>
      <c r="S1193">
        <f>HYPERLINK("https://klasma.github.io/Logging_2480/artfynd/A 38545-2021 artfynd.xlsx", "A 38545-2021")</f>
        <v/>
      </c>
      <c r="T1193">
        <f>HYPERLINK("https://klasma.github.io/Logging_2480/kartor/A 38545-2021 karta.png", "A 38545-2021")</f>
        <v/>
      </c>
      <c r="V1193">
        <f>HYPERLINK("https://klasma.github.io/Logging_2480/klagomål/A 38545-2021 FSC-klagomål.docx", "A 38545-2021")</f>
        <v/>
      </c>
      <c r="W1193">
        <f>HYPERLINK("https://klasma.github.io/Logging_2480/klagomålsmail/A 38545-2021 FSC-klagomål mail.docx", "A 38545-2021")</f>
        <v/>
      </c>
      <c r="X1193">
        <f>HYPERLINK("https://klasma.github.io/Logging_2480/tillsyn/A 38545-2021 tillsynsbegäran.docx", "A 38545-2021")</f>
        <v/>
      </c>
      <c r="Y1193">
        <f>HYPERLINK("https://klasma.github.io/Logging_2480/tillsynsmail/A 38545-2021 tillsynsbegäran mail.docx", "A 38545-2021")</f>
        <v/>
      </c>
      <c r="Z1193">
        <f>HYPERLINK("https://klasma.github.io/Logging_2480/fåglar/A 38545-2021 prioriterade fågelarter.docx", "A 38545-2021")</f>
        <v/>
      </c>
    </row>
    <row r="1194" ht="15" customHeight="1">
      <c r="A1194" t="inlineStr">
        <is>
          <t>A 38681-2021</t>
        </is>
      </c>
      <c r="B1194" s="1" t="n">
        <v>44407</v>
      </c>
      <c r="C1194" s="1" t="n">
        <v>45792</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38681-2021 artfynd.xlsx", "A 38681-2021")</f>
        <v/>
      </c>
      <c r="T1194">
        <f>HYPERLINK("https://klasma.github.io/Logging_2480/kartor/A 38681-2021 karta.png", "A 38681-2021")</f>
        <v/>
      </c>
      <c r="V1194">
        <f>HYPERLINK("https://klasma.github.io/Logging_2480/klagomål/A 38681-2021 FSC-klagomål.docx", "A 38681-2021")</f>
        <v/>
      </c>
      <c r="W1194">
        <f>HYPERLINK("https://klasma.github.io/Logging_2480/klagomålsmail/A 38681-2021 FSC-klagomål mail.docx", "A 38681-2021")</f>
        <v/>
      </c>
      <c r="X1194">
        <f>HYPERLINK("https://klasma.github.io/Logging_2480/tillsyn/A 38681-2021 tillsynsbegäran.docx", "A 38681-2021")</f>
        <v/>
      </c>
      <c r="Y1194">
        <f>HYPERLINK("https://klasma.github.io/Logging_2480/tillsynsmail/A 38681-2021 tillsynsbegäran mail.docx", "A 38681-2021")</f>
        <v/>
      </c>
      <c r="Z1194">
        <f>HYPERLINK("https://klasma.github.io/Logging_2480/fåglar/A 38681-2021 prioriterade fågelarter.docx", "A 38681-2021")</f>
        <v/>
      </c>
    </row>
    <row r="1195" ht="15" customHeight="1">
      <c r="A1195" t="inlineStr">
        <is>
          <t>A 38683-2021</t>
        </is>
      </c>
      <c r="B1195" s="1" t="n">
        <v>44407</v>
      </c>
      <c r="C1195" s="1" t="n">
        <v>45792</v>
      </c>
      <c r="D1195" t="inlineStr">
        <is>
          <t>VÄSTERBOTTENS LÄN</t>
        </is>
      </c>
      <c r="E1195" t="inlineStr">
        <is>
          <t>UMEÅ</t>
        </is>
      </c>
      <c r="F1195" t="inlineStr">
        <is>
          <t>Kommuner</t>
        </is>
      </c>
      <c r="G1195" t="n">
        <v>0.6</v>
      </c>
      <c r="H1195" t="n">
        <v>0</v>
      </c>
      <c r="I1195" t="n">
        <v>0</v>
      </c>
      <c r="J1195" t="n">
        <v>1</v>
      </c>
      <c r="K1195" t="n">
        <v>0</v>
      </c>
      <c r="L1195" t="n">
        <v>0</v>
      </c>
      <c r="M1195" t="n">
        <v>0</v>
      </c>
      <c r="N1195" t="n">
        <v>0</v>
      </c>
      <c r="O1195" t="n">
        <v>1</v>
      </c>
      <c r="P1195" t="n">
        <v>0</v>
      </c>
      <c r="Q1195" t="n">
        <v>1</v>
      </c>
      <c r="R1195" s="2" t="inlineStr">
        <is>
          <t>Springkornsfältmätare</t>
        </is>
      </c>
      <c r="S1195">
        <f>HYPERLINK("https://klasma.github.io/Logging_2480/artfynd/A 38683-2021 artfynd.xlsx", "A 38683-2021")</f>
        <v/>
      </c>
      <c r="T1195">
        <f>HYPERLINK("https://klasma.github.io/Logging_2480/kartor/A 38683-2021 karta.png", "A 38683-2021")</f>
        <v/>
      </c>
      <c r="V1195">
        <f>HYPERLINK("https://klasma.github.io/Logging_2480/klagomål/A 38683-2021 FSC-klagomål.docx", "A 38683-2021")</f>
        <v/>
      </c>
      <c r="W1195">
        <f>HYPERLINK("https://klasma.github.io/Logging_2480/klagomålsmail/A 38683-2021 FSC-klagomål mail.docx", "A 38683-2021")</f>
        <v/>
      </c>
      <c r="X1195">
        <f>HYPERLINK("https://klasma.github.io/Logging_2480/tillsyn/A 38683-2021 tillsynsbegäran.docx", "A 38683-2021")</f>
        <v/>
      </c>
      <c r="Y1195">
        <f>HYPERLINK("https://klasma.github.io/Logging_2480/tillsynsmail/A 38683-2021 tillsynsbegäran mail.docx", "A 38683-2021")</f>
        <v/>
      </c>
    </row>
    <row r="1196" ht="15" customHeight="1">
      <c r="A1196" t="inlineStr">
        <is>
          <t>A 38719-2021</t>
        </is>
      </c>
      <c r="B1196" s="1" t="n">
        <v>44410</v>
      </c>
      <c r="C1196" s="1" t="n">
        <v>45792</v>
      </c>
      <c r="D1196" t="inlineStr">
        <is>
          <t>VÄSTERBOTTENS LÄN</t>
        </is>
      </c>
      <c r="E1196" t="inlineStr">
        <is>
          <t>UMEÅ</t>
        </is>
      </c>
      <c r="F1196" t="inlineStr">
        <is>
          <t>Kommuner</t>
        </is>
      </c>
      <c r="G1196" t="n">
        <v>1</v>
      </c>
      <c r="H1196" t="n">
        <v>1</v>
      </c>
      <c r="I1196" t="n">
        <v>0</v>
      </c>
      <c r="J1196" t="n">
        <v>1</v>
      </c>
      <c r="K1196" t="n">
        <v>0</v>
      </c>
      <c r="L1196" t="n">
        <v>0</v>
      </c>
      <c r="M1196" t="n">
        <v>0</v>
      </c>
      <c r="N1196" t="n">
        <v>0</v>
      </c>
      <c r="O1196" t="n">
        <v>1</v>
      </c>
      <c r="P1196" t="n">
        <v>0</v>
      </c>
      <c r="Q1196" t="n">
        <v>1</v>
      </c>
      <c r="R1196" s="2" t="inlineStr">
        <is>
          <t>Talltita</t>
        </is>
      </c>
      <c r="S1196">
        <f>HYPERLINK("https://klasma.github.io/Logging_2480/artfynd/A 38719-2021 artfynd.xlsx", "A 38719-2021")</f>
        <v/>
      </c>
      <c r="T1196">
        <f>HYPERLINK("https://klasma.github.io/Logging_2480/kartor/A 38719-2021 karta.png", "A 38719-2021")</f>
        <v/>
      </c>
      <c r="V1196">
        <f>HYPERLINK("https://klasma.github.io/Logging_2480/klagomål/A 38719-2021 FSC-klagomål.docx", "A 38719-2021")</f>
        <v/>
      </c>
      <c r="W1196">
        <f>HYPERLINK("https://klasma.github.io/Logging_2480/klagomålsmail/A 38719-2021 FSC-klagomål mail.docx", "A 38719-2021")</f>
        <v/>
      </c>
      <c r="X1196">
        <f>HYPERLINK("https://klasma.github.io/Logging_2480/tillsyn/A 38719-2021 tillsynsbegäran.docx", "A 38719-2021")</f>
        <v/>
      </c>
      <c r="Y1196">
        <f>HYPERLINK("https://klasma.github.io/Logging_2480/tillsynsmail/A 38719-2021 tillsynsbegäran mail.docx", "A 38719-2021")</f>
        <v/>
      </c>
      <c r="Z1196">
        <f>HYPERLINK("https://klasma.github.io/Logging_2480/fåglar/A 38719-2021 prioriterade fågelarter.docx", "A 38719-2021")</f>
        <v/>
      </c>
    </row>
    <row r="1197" ht="15" customHeight="1">
      <c r="A1197" t="inlineStr">
        <is>
          <t>A 38700-2021</t>
        </is>
      </c>
      <c r="B1197" s="1" t="n">
        <v>44410</v>
      </c>
      <c r="C1197" s="1" t="n">
        <v>45792</v>
      </c>
      <c r="D1197" t="inlineStr">
        <is>
          <t>VÄSTERBOTTENS LÄN</t>
        </is>
      </c>
      <c r="E1197" t="inlineStr">
        <is>
          <t>UMEÅ</t>
        </is>
      </c>
      <c r="F1197" t="inlineStr">
        <is>
          <t>Kommuner</t>
        </is>
      </c>
      <c r="G1197" t="n">
        <v>2</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38700-2021 artfynd.xlsx", "A 38700-2021")</f>
        <v/>
      </c>
      <c r="T1197">
        <f>HYPERLINK("https://klasma.github.io/Logging_2480/kartor/A 38700-2021 karta.png", "A 38700-2021")</f>
        <v/>
      </c>
      <c r="V1197">
        <f>HYPERLINK("https://klasma.github.io/Logging_2480/klagomål/A 38700-2021 FSC-klagomål.docx", "A 38700-2021")</f>
        <v/>
      </c>
      <c r="W1197">
        <f>HYPERLINK("https://klasma.github.io/Logging_2480/klagomålsmail/A 38700-2021 FSC-klagomål mail.docx", "A 38700-2021")</f>
        <v/>
      </c>
      <c r="X1197">
        <f>HYPERLINK("https://klasma.github.io/Logging_2480/tillsyn/A 38700-2021 tillsynsbegäran.docx", "A 38700-2021")</f>
        <v/>
      </c>
      <c r="Y1197">
        <f>HYPERLINK("https://klasma.github.io/Logging_2480/tillsynsmail/A 38700-2021 tillsynsbegäran mail.docx", "A 38700-2021")</f>
        <v/>
      </c>
    </row>
    <row r="1198" ht="15" customHeight="1">
      <c r="A1198" t="inlineStr">
        <is>
          <t>A 38742-2021</t>
        </is>
      </c>
      <c r="B1198" s="1" t="n">
        <v>44410</v>
      </c>
      <c r="C1198" s="1" t="n">
        <v>45792</v>
      </c>
      <c r="D1198" t="inlineStr">
        <is>
          <t>VÄSTERBOTTENS LÄN</t>
        </is>
      </c>
      <c r="E1198" t="inlineStr">
        <is>
          <t>UMEÅ</t>
        </is>
      </c>
      <c r="F1198" t="inlineStr">
        <is>
          <t>Kommuner</t>
        </is>
      </c>
      <c r="G1198" t="n">
        <v>3.6</v>
      </c>
      <c r="H1198" t="n">
        <v>0</v>
      </c>
      <c r="I1198" t="n">
        <v>0</v>
      </c>
      <c r="J1198" t="n">
        <v>1</v>
      </c>
      <c r="K1198" t="n">
        <v>0</v>
      </c>
      <c r="L1198" t="n">
        <v>0</v>
      </c>
      <c r="M1198" t="n">
        <v>0</v>
      </c>
      <c r="N1198" t="n">
        <v>0</v>
      </c>
      <c r="O1198" t="n">
        <v>1</v>
      </c>
      <c r="P1198" t="n">
        <v>0</v>
      </c>
      <c r="Q1198" t="n">
        <v>1</v>
      </c>
      <c r="R1198" s="2" t="inlineStr">
        <is>
          <t>Stubbträfluga</t>
        </is>
      </c>
      <c r="S1198">
        <f>HYPERLINK("https://klasma.github.io/Logging_2480/artfynd/A 38742-2021 artfynd.xlsx", "A 38742-2021")</f>
        <v/>
      </c>
      <c r="T1198">
        <f>HYPERLINK("https://klasma.github.io/Logging_2480/kartor/A 38742-2021 karta.png", "A 38742-2021")</f>
        <v/>
      </c>
      <c r="V1198">
        <f>HYPERLINK("https://klasma.github.io/Logging_2480/klagomål/A 38742-2021 FSC-klagomål.docx", "A 38742-2021")</f>
        <v/>
      </c>
      <c r="W1198">
        <f>HYPERLINK("https://klasma.github.io/Logging_2480/klagomålsmail/A 38742-2021 FSC-klagomål mail.docx", "A 38742-2021")</f>
        <v/>
      </c>
      <c r="X1198">
        <f>HYPERLINK("https://klasma.github.io/Logging_2480/tillsyn/A 38742-2021 tillsynsbegäran.docx", "A 38742-2021")</f>
        <v/>
      </c>
      <c r="Y1198">
        <f>HYPERLINK("https://klasma.github.io/Logging_2480/tillsynsmail/A 38742-2021 tillsynsbegäran mail.docx", "A 38742-2021")</f>
        <v/>
      </c>
    </row>
    <row r="1199" ht="15" customHeight="1">
      <c r="A1199" t="inlineStr">
        <is>
          <t>A 39946-2021</t>
        </is>
      </c>
      <c r="B1199" s="1" t="n">
        <v>44417</v>
      </c>
      <c r="C1199" s="1" t="n">
        <v>45792</v>
      </c>
      <c r="D1199" t="inlineStr">
        <is>
          <t>VÄSTERBOTTENS LÄN</t>
        </is>
      </c>
      <c r="E1199" t="inlineStr">
        <is>
          <t>SKELLEFTEÅ</t>
        </is>
      </c>
      <c r="F1199" t="inlineStr">
        <is>
          <t>SCA</t>
        </is>
      </c>
      <c r="G1199" t="n">
        <v>3.4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39946-2021 artfynd.xlsx", "A 39946-2021")</f>
        <v/>
      </c>
      <c r="T1199">
        <f>HYPERLINK("https://klasma.github.io/Logging_2482/kartor/A 39946-2021 karta.png", "A 39946-2021")</f>
        <v/>
      </c>
      <c r="V1199">
        <f>HYPERLINK("https://klasma.github.io/Logging_2482/klagomål/A 39946-2021 FSC-klagomål.docx", "A 39946-2021")</f>
        <v/>
      </c>
      <c r="W1199">
        <f>HYPERLINK("https://klasma.github.io/Logging_2482/klagomålsmail/A 39946-2021 FSC-klagomål mail.docx", "A 39946-2021")</f>
        <v/>
      </c>
      <c r="X1199">
        <f>HYPERLINK("https://klasma.github.io/Logging_2482/tillsyn/A 39946-2021 tillsynsbegäran.docx", "A 39946-2021")</f>
        <v/>
      </c>
      <c r="Y1199">
        <f>HYPERLINK("https://klasma.github.io/Logging_2482/tillsynsmail/A 39946-2021 tillsynsbegäran mail.docx", "A 39946-2021")</f>
        <v/>
      </c>
    </row>
    <row r="1200" ht="15" customHeight="1">
      <c r="A1200" t="inlineStr">
        <is>
          <t>A 42843-2021</t>
        </is>
      </c>
      <c r="B1200" s="1" t="n">
        <v>44430</v>
      </c>
      <c r="C1200" s="1" t="n">
        <v>45792</v>
      </c>
      <c r="D1200" t="inlineStr">
        <is>
          <t>VÄSTERBOTTENS LÄN</t>
        </is>
      </c>
      <c r="E1200" t="inlineStr">
        <is>
          <t>STORUMAN</t>
        </is>
      </c>
      <c r="F1200" t="inlineStr">
        <is>
          <t>Övriga statliga verk och myndigheter</t>
        </is>
      </c>
      <c r="G1200" t="n">
        <v>19.7</v>
      </c>
      <c r="H1200" t="n">
        <v>0</v>
      </c>
      <c r="I1200" t="n">
        <v>0</v>
      </c>
      <c r="J1200" t="n">
        <v>1</v>
      </c>
      <c r="K1200" t="n">
        <v>0</v>
      </c>
      <c r="L1200" t="n">
        <v>0</v>
      </c>
      <c r="M1200" t="n">
        <v>0</v>
      </c>
      <c r="N1200" t="n">
        <v>0</v>
      </c>
      <c r="O1200" t="n">
        <v>1</v>
      </c>
      <c r="P1200" t="n">
        <v>0</v>
      </c>
      <c r="Q1200" t="n">
        <v>1</v>
      </c>
      <c r="R1200" s="2" t="inlineStr">
        <is>
          <t>Granticka</t>
        </is>
      </c>
      <c r="S1200">
        <f>HYPERLINK("https://klasma.github.io/Logging_2421/artfynd/A 42843-2021 artfynd.xlsx", "A 42843-2021")</f>
        <v/>
      </c>
      <c r="T1200">
        <f>HYPERLINK("https://klasma.github.io/Logging_2421/kartor/A 42843-2021 karta.png", "A 42843-2021")</f>
        <v/>
      </c>
      <c r="V1200">
        <f>HYPERLINK("https://klasma.github.io/Logging_2421/klagomål/A 42843-2021 FSC-klagomål.docx", "A 42843-2021")</f>
        <v/>
      </c>
      <c r="W1200">
        <f>HYPERLINK("https://klasma.github.io/Logging_2421/klagomålsmail/A 42843-2021 FSC-klagomål mail.docx", "A 42843-2021")</f>
        <v/>
      </c>
      <c r="X1200">
        <f>HYPERLINK("https://klasma.github.io/Logging_2421/tillsyn/A 42843-2021 tillsynsbegäran.docx", "A 42843-2021")</f>
        <v/>
      </c>
      <c r="Y1200">
        <f>HYPERLINK("https://klasma.github.io/Logging_2421/tillsynsmail/A 42843-2021 tillsynsbegäran mail.docx", "A 42843-2021")</f>
        <v/>
      </c>
    </row>
    <row r="1201" ht="15" customHeight="1">
      <c r="A1201" t="inlineStr">
        <is>
          <t>A 43050-2021</t>
        </is>
      </c>
      <c r="B1201" s="1" t="n">
        <v>44431</v>
      </c>
      <c r="C1201" s="1" t="n">
        <v>45792</v>
      </c>
      <c r="D1201" t="inlineStr">
        <is>
          <t>VÄSTERBOTTENS LÄN</t>
        </is>
      </c>
      <c r="E1201" t="inlineStr">
        <is>
          <t>NORDMALING</t>
        </is>
      </c>
      <c r="G1201" t="n">
        <v>3</v>
      </c>
      <c r="H1201" t="n">
        <v>0</v>
      </c>
      <c r="I1201" t="n">
        <v>0</v>
      </c>
      <c r="J1201" t="n">
        <v>1</v>
      </c>
      <c r="K1201" t="n">
        <v>0</v>
      </c>
      <c r="L1201" t="n">
        <v>0</v>
      </c>
      <c r="M1201" t="n">
        <v>0</v>
      </c>
      <c r="N1201" t="n">
        <v>0</v>
      </c>
      <c r="O1201" t="n">
        <v>1</v>
      </c>
      <c r="P1201" t="n">
        <v>0</v>
      </c>
      <c r="Q1201" t="n">
        <v>1</v>
      </c>
      <c r="R1201" s="2" t="inlineStr">
        <is>
          <t>Gränsticka</t>
        </is>
      </c>
      <c r="S1201">
        <f>HYPERLINK("https://klasma.github.io/Logging_2401/artfynd/A 43050-2021 artfynd.xlsx", "A 43050-2021")</f>
        <v/>
      </c>
      <c r="T1201">
        <f>HYPERLINK("https://klasma.github.io/Logging_2401/kartor/A 43050-2021 karta.png", "A 43050-2021")</f>
        <v/>
      </c>
      <c r="V1201">
        <f>HYPERLINK("https://klasma.github.io/Logging_2401/klagomål/A 43050-2021 FSC-klagomål.docx", "A 43050-2021")</f>
        <v/>
      </c>
      <c r="W1201">
        <f>HYPERLINK("https://klasma.github.io/Logging_2401/klagomålsmail/A 43050-2021 FSC-klagomål mail.docx", "A 43050-2021")</f>
        <v/>
      </c>
      <c r="X1201">
        <f>HYPERLINK("https://klasma.github.io/Logging_2401/tillsyn/A 43050-2021 tillsynsbegäran.docx", "A 43050-2021")</f>
        <v/>
      </c>
      <c r="Y1201">
        <f>HYPERLINK("https://klasma.github.io/Logging_2401/tillsynsmail/A 43050-2021 tillsynsbegäran mail.docx", "A 43050-2021")</f>
        <v/>
      </c>
    </row>
    <row r="1202" ht="15" customHeight="1">
      <c r="A1202" t="inlineStr">
        <is>
          <t>A 45267-2021</t>
        </is>
      </c>
      <c r="B1202" s="1" t="n">
        <v>44439</v>
      </c>
      <c r="C1202" s="1" t="n">
        <v>45792</v>
      </c>
      <c r="D1202" t="inlineStr">
        <is>
          <t>VÄSTERBOTTENS LÄN</t>
        </is>
      </c>
      <c r="E1202" t="inlineStr">
        <is>
          <t>VINDELN</t>
        </is>
      </c>
      <c r="G1202" t="n">
        <v>1.9</v>
      </c>
      <c r="H1202" t="n">
        <v>0</v>
      </c>
      <c r="I1202" t="n">
        <v>1</v>
      </c>
      <c r="J1202" t="n">
        <v>0</v>
      </c>
      <c r="K1202" t="n">
        <v>0</v>
      </c>
      <c r="L1202" t="n">
        <v>0</v>
      </c>
      <c r="M1202" t="n">
        <v>0</v>
      </c>
      <c r="N1202" t="n">
        <v>0</v>
      </c>
      <c r="O1202" t="n">
        <v>0</v>
      </c>
      <c r="P1202" t="n">
        <v>0</v>
      </c>
      <c r="Q1202" t="n">
        <v>1</v>
      </c>
      <c r="R1202" s="2" t="inlineStr">
        <is>
          <t>Mörk husmossa</t>
        </is>
      </c>
      <c r="S1202">
        <f>HYPERLINK("https://klasma.github.io/Logging_2404/artfynd/A 45267-2021 artfynd.xlsx", "A 45267-2021")</f>
        <v/>
      </c>
      <c r="T1202">
        <f>HYPERLINK("https://klasma.github.io/Logging_2404/kartor/A 45267-2021 karta.png", "A 45267-2021")</f>
        <v/>
      </c>
      <c r="V1202">
        <f>HYPERLINK("https://klasma.github.io/Logging_2404/klagomål/A 45267-2021 FSC-klagomål.docx", "A 45267-2021")</f>
        <v/>
      </c>
      <c r="W1202">
        <f>HYPERLINK("https://klasma.github.io/Logging_2404/klagomålsmail/A 45267-2021 FSC-klagomål mail.docx", "A 45267-2021")</f>
        <v/>
      </c>
      <c r="X1202">
        <f>HYPERLINK("https://klasma.github.io/Logging_2404/tillsyn/A 45267-2021 tillsynsbegäran.docx", "A 45267-2021")</f>
        <v/>
      </c>
      <c r="Y1202">
        <f>HYPERLINK("https://klasma.github.io/Logging_2404/tillsynsmail/A 45267-2021 tillsynsbegäran mail.docx", "A 45267-2021")</f>
        <v/>
      </c>
    </row>
    <row r="1203" ht="15" customHeight="1">
      <c r="A1203" t="inlineStr">
        <is>
          <t>A 45511-2021</t>
        </is>
      </c>
      <c r="B1203" s="1" t="n">
        <v>44440</v>
      </c>
      <c r="C1203" s="1" t="n">
        <v>45792</v>
      </c>
      <c r="D1203" t="inlineStr">
        <is>
          <t>VÄSTERBOTTENS LÄN</t>
        </is>
      </c>
      <c r="E1203" t="inlineStr">
        <is>
          <t>SORSELE</t>
        </is>
      </c>
      <c r="G1203" t="n">
        <v>2.7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HYPERLINK("https://klasma.github.io/Logging_2422/artfynd/A 45511-2021 artfynd.xlsx", "A 45511-2021")</f>
        <v/>
      </c>
      <c r="T1203">
        <f>HYPERLINK("https://klasma.github.io/Logging_2422/kartor/A 45511-2021 karta.png", "A 45511-2021")</f>
        <v/>
      </c>
      <c r="V1203">
        <f>HYPERLINK("https://klasma.github.io/Logging_2422/klagomål/A 45511-2021 FSC-klagomål.docx", "A 45511-2021")</f>
        <v/>
      </c>
      <c r="W1203">
        <f>HYPERLINK("https://klasma.github.io/Logging_2422/klagomålsmail/A 45511-2021 FSC-klagomål mail.docx", "A 45511-2021")</f>
        <v/>
      </c>
      <c r="X1203">
        <f>HYPERLINK("https://klasma.github.io/Logging_2422/tillsyn/A 45511-2021 tillsynsbegäran.docx", "A 45511-2021")</f>
        <v/>
      </c>
      <c r="Y1203">
        <f>HYPERLINK("https://klasma.github.io/Logging_2422/tillsynsmail/A 45511-2021 tillsynsbegäran mail.docx", "A 45511-2021")</f>
        <v/>
      </c>
      <c r="Z1203">
        <f>HYPERLINK("https://klasma.github.io/Logging_2422/fåglar/A 45511-2021 prioriterade fågelarter.docx", "A 45511-2021")</f>
        <v/>
      </c>
    </row>
    <row r="1204" ht="15" customHeight="1">
      <c r="A1204" t="inlineStr">
        <is>
          <t>A 47038-2021</t>
        </is>
      </c>
      <c r="B1204" s="1" t="n">
        <v>44446</v>
      </c>
      <c r="C1204" s="1" t="n">
        <v>45792</v>
      </c>
      <c r="D1204" t="inlineStr">
        <is>
          <t>VÄSTERBOTTENS LÄN</t>
        </is>
      </c>
      <c r="E1204" t="inlineStr">
        <is>
          <t>UMEÅ</t>
        </is>
      </c>
      <c r="G1204" t="n">
        <v>22.3</v>
      </c>
      <c r="H1204" t="n">
        <v>0</v>
      </c>
      <c r="I1204" t="n">
        <v>0</v>
      </c>
      <c r="J1204" t="n">
        <v>1</v>
      </c>
      <c r="K1204" t="n">
        <v>0</v>
      </c>
      <c r="L1204" t="n">
        <v>0</v>
      </c>
      <c r="M1204" t="n">
        <v>0</v>
      </c>
      <c r="N1204" t="n">
        <v>0</v>
      </c>
      <c r="O1204" t="n">
        <v>1</v>
      </c>
      <c r="P1204" t="n">
        <v>0</v>
      </c>
      <c r="Q1204" t="n">
        <v>1</v>
      </c>
      <c r="R1204" s="2" t="inlineStr">
        <is>
          <t>Ullticka</t>
        </is>
      </c>
      <c r="S1204">
        <f>HYPERLINK("https://klasma.github.io/Logging_2480/artfynd/A 47038-2021 artfynd.xlsx", "A 47038-2021")</f>
        <v/>
      </c>
      <c r="T1204">
        <f>HYPERLINK("https://klasma.github.io/Logging_2480/kartor/A 47038-2021 karta.png", "A 47038-2021")</f>
        <v/>
      </c>
      <c r="V1204">
        <f>HYPERLINK("https://klasma.github.io/Logging_2480/klagomål/A 47038-2021 FSC-klagomål.docx", "A 47038-2021")</f>
        <v/>
      </c>
      <c r="W1204">
        <f>HYPERLINK("https://klasma.github.io/Logging_2480/klagomålsmail/A 47038-2021 FSC-klagomål mail.docx", "A 47038-2021")</f>
        <v/>
      </c>
      <c r="X1204">
        <f>HYPERLINK("https://klasma.github.io/Logging_2480/tillsyn/A 47038-2021 tillsynsbegäran.docx", "A 47038-2021")</f>
        <v/>
      </c>
      <c r="Y1204">
        <f>HYPERLINK("https://klasma.github.io/Logging_2480/tillsynsmail/A 47038-2021 tillsynsbegäran mail.docx", "A 47038-2021")</f>
        <v/>
      </c>
    </row>
    <row r="1205" ht="15" customHeight="1">
      <c r="A1205" t="inlineStr">
        <is>
          <t>A 49370-2021</t>
        </is>
      </c>
      <c r="B1205" s="1" t="n">
        <v>44454</v>
      </c>
      <c r="C1205" s="1" t="n">
        <v>45792</v>
      </c>
      <c r="D1205" t="inlineStr">
        <is>
          <t>VÄSTERBOTTENS LÄN</t>
        </is>
      </c>
      <c r="E1205" t="inlineStr">
        <is>
          <t>MALÅ</t>
        </is>
      </c>
      <c r="F1205" t="inlineStr">
        <is>
          <t>Sveaskog</t>
        </is>
      </c>
      <c r="G1205" t="n">
        <v>26.5</v>
      </c>
      <c r="H1205" t="n">
        <v>1</v>
      </c>
      <c r="I1205" t="n">
        <v>0</v>
      </c>
      <c r="J1205" t="n">
        <v>0</v>
      </c>
      <c r="K1205" t="n">
        <v>1</v>
      </c>
      <c r="L1205" t="n">
        <v>0</v>
      </c>
      <c r="M1205" t="n">
        <v>0</v>
      </c>
      <c r="N1205" t="n">
        <v>0</v>
      </c>
      <c r="O1205" t="n">
        <v>1</v>
      </c>
      <c r="P1205" t="n">
        <v>1</v>
      </c>
      <c r="Q1205" t="n">
        <v>1</v>
      </c>
      <c r="R1205" s="2" t="inlineStr">
        <is>
          <t>Norna</t>
        </is>
      </c>
      <c r="S1205">
        <f>HYPERLINK("https://klasma.github.io/Logging_2418/artfynd/A 49370-2021 artfynd.xlsx", "A 49370-2021")</f>
        <v/>
      </c>
      <c r="T1205">
        <f>HYPERLINK("https://klasma.github.io/Logging_2418/kartor/A 49370-2021 karta.png", "A 49370-2021")</f>
        <v/>
      </c>
      <c r="V1205">
        <f>HYPERLINK("https://klasma.github.io/Logging_2418/klagomål/A 49370-2021 FSC-klagomål.docx", "A 49370-2021")</f>
        <v/>
      </c>
      <c r="W1205">
        <f>HYPERLINK("https://klasma.github.io/Logging_2418/klagomålsmail/A 49370-2021 FSC-klagomål mail.docx", "A 49370-2021")</f>
        <v/>
      </c>
      <c r="X1205">
        <f>HYPERLINK("https://klasma.github.io/Logging_2418/tillsyn/A 49370-2021 tillsynsbegäran.docx", "A 49370-2021")</f>
        <v/>
      </c>
      <c r="Y1205">
        <f>HYPERLINK("https://klasma.github.io/Logging_2418/tillsynsmail/A 49370-2021 tillsynsbegäran mail.docx", "A 49370-2021")</f>
        <v/>
      </c>
    </row>
    <row r="1206" ht="15" customHeight="1">
      <c r="A1206" t="inlineStr">
        <is>
          <t>A 49774-2021</t>
        </is>
      </c>
      <c r="B1206" s="1" t="n">
        <v>44455</v>
      </c>
      <c r="C1206" s="1" t="n">
        <v>45792</v>
      </c>
      <c r="D1206" t="inlineStr">
        <is>
          <t>VÄSTERBOTTENS LÄN</t>
        </is>
      </c>
      <c r="E1206" t="inlineStr">
        <is>
          <t>UMEÅ</t>
        </is>
      </c>
      <c r="G1206" t="n">
        <v>1.7</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49774-2021 artfynd.xlsx", "A 49774-2021")</f>
        <v/>
      </c>
      <c r="T1206">
        <f>HYPERLINK("https://klasma.github.io/Logging_2480/kartor/A 49774-2021 karta.png", "A 49774-2021")</f>
        <v/>
      </c>
      <c r="V1206">
        <f>HYPERLINK("https://klasma.github.io/Logging_2480/klagomål/A 49774-2021 FSC-klagomål.docx", "A 49774-2021")</f>
        <v/>
      </c>
      <c r="W1206">
        <f>HYPERLINK("https://klasma.github.io/Logging_2480/klagomålsmail/A 49774-2021 FSC-klagomål mail.docx", "A 49774-2021")</f>
        <v/>
      </c>
      <c r="X1206">
        <f>HYPERLINK("https://klasma.github.io/Logging_2480/tillsyn/A 49774-2021 tillsynsbegäran.docx", "A 49774-2021")</f>
        <v/>
      </c>
      <c r="Y1206">
        <f>HYPERLINK("https://klasma.github.io/Logging_2480/tillsynsmail/A 49774-2021 tillsynsbegäran mail.docx", "A 49774-2021")</f>
        <v/>
      </c>
    </row>
    <row r="1207" ht="15" customHeight="1">
      <c r="A1207" t="inlineStr">
        <is>
          <t>A 49850-2021</t>
        </is>
      </c>
      <c r="B1207" s="1" t="n">
        <v>44455</v>
      </c>
      <c r="C1207" s="1" t="n">
        <v>45792</v>
      </c>
      <c r="D1207" t="inlineStr">
        <is>
          <t>VÄSTERBOTTENS LÄN</t>
        </is>
      </c>
      <c r="E1207" t="inlineStr">
        <is>
          <t>UMEÅ</t>
        </is>
      </c>
      <c r="G1207" t="n">
        <v>3.8</v>
      </c>
      <c r="H1207" t="n">
        <v>0</v>
      </c>
      <c r="I1207" t="n">
        <v>0</v>
      </c>
      <c r="J1207" t="n">
        <v>1</v>
      </c>
      <c r="K1207" t="n">
        <v>0</v>
      </c>
      <c r="L1207" t="n">
        <v>0</v>
      </c>
      <c r="M1207" t="n">
        <v>0</v>
      </c>
      <c r="N1207" t="n">
        <v>0</v>
      </c>
      <c r="O1207" t="n">
        <v>1</v>
      </c>
      <c r="P1207" t="n">
        <v>0</v>
      </c>
      <c r="Q1207" t="n">
        <v>1</v>
      </c>
      <c r="R1207" s="2" t="inlineStr">
        <is>
          <t>Skogshare</t>
        </is>
      </c>
      <c r="S1207">
        <f>HYPERLINK("https://klasma.github.io/Logging_2480/artfynd/A 49850-2021 artfynd.xlsx", "A 49850-2021")</f>
        <v/>
      </c>
      <c r="T1207">
        <f>HYPERLINK("https://klasma.github.io/Logging_2480/kartor/A 49850-2021 karta.png", "A 49850-2021")</f>
        <v/>
      </c>
      <c r="V1207">
        <f>HYPERLINK("https://klasma.github.io/Logging_2480/klagomål/A 49850-2021 FSC-klagomål.docx", "A 49850-2021")</f>
        <v/>
      </c>
      <c r="W1207">
        <f>HYPERLINK("https://klasma.github.io/Logging_2480/klagomålsmail/A 49850-2021 FSC-klagomål mail.docx", "A 49850-2021")</f>
        <v/>
      </c>
      <c r="X1207">
        <f>HYPERLINK("https://klasma.github.io/Logging_2480/tillsyn/A 49850-2021 tillsynsbegäran.docx", "A 49850-2021")</f>
        <v/>
      </c>
      <c r="Y1207">
        <f>HYPERLINK("https://klasma.github.io/Logging_2480/tillsynsmail/A 49850-2021 tillsynsbegäran mail.docx", "A 49850-2021")</f>
        <v/>
      </c>
    </row>
    <row r="1208" ht="15" customHeight="1">
      <c r="A1208" t="inlineStr">
        <is>
          <t>A 51640-2021</t>
        </is>
      </c>
      <c r="B1208" s="1" t="n">
        <v>44462</v>
      </c>
      <c r="C1208" s="1" t="n">
        <v>45792</v>
      </c>
      <c r="D1208" t="inlineStr">
        <is>
          <t>VÄSTERBOTTENS LÄN</t>
        </is>
      </c>
      <c r="E1208" t="inlineStr">
        <is>
          <t>NORSJÖ</t>
        </is>
      </c>
      <c r="F1208" t="inlineStr">
        <is>
          <t>Sveaskog</t>
        </is>
      </c>
      <c r="G1208" t="n">
        <v>7.5</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HYPERLINK("https://klasma.github.io/Logging_2417/artfynd/A 51640-2021 artfynd.xlsx", "A 51640-2021")</f>
        <v/>
      </c>
      <c r="T1208">
        <f>HYPERLINK("https://klasma.github.io/Logging_2417/kartor/A 51640-2021 karta.png", "A 51640-2021")</f>
        <v/>
      </c>
      <c r="V1208">
        <f>HYPERLINK("https://klasma.github.io/Logging_2417/klagomål/A 51640-2021 FSC-klagomål.docx", "A 51640-2021")</f>
        <v/>
      </c>
      <c r="W1208">
        <f>HYPERLINK("https://klasma.github.io/Logging_2417/klagomålsmail/A 51640-2021 FSC-klagomål mail.docx", "A 51640-2021")</f>
        <v/>
      </c>
      <c r="X1208">
        <f>HYPERLINK("https://klasma.github.io/Logging_2417/tillsyn/A 51640-2021 tillsynsbegäran.docx", "A 51640-2021")</f>
        <v/>
      </c>
      <c r="Y1208">
        <f>HYPERLINK("https://klasma.github.io/Logging_2417/tillsynsmail/A 51640-2021 tillsynsbegäran mail.docx", "A 51640-2021")</f>
        <v/>
      </c>
    </row>
    <row r="1209" ht="15" customHeight="1">
      <c r="A1209" t="inlineStr">
        <is>
          <t>A 51723-2021</t>
        </is>
      </c>
      <c r="B1209" s="1" t="n">
        <v>44462</v>
      </c>
      <c r="C1209" s="1" t="n">
        <v>45792</v>
      </c>
      <c r="D1209" t="inlineStr">
        <is>
          <t>VÄSTERBOTTENS LÄN</t>
        </is>
      </c>
      <c r="E1209" t="inlineStr">
        <is>
          <t>BJURHOLM</t>
        </is>
      </c>
      <c r="F1209" t="inlineStr">
        <is>
          <t>Sveaskog</t>
        </is>
      </c>
      <c r="G1209" t="n">
        <v>14.1</v>
      </c>
      <c r="H1209" t="n">
        <v>0</v>
      </c>
      <c r="I1209" t="n">
        <v>0</v>
      </c>
      <c r="J1209" t="n">
        <v>1</v>
      </c>
      <c r="K1209" t="n">
        <v>0</v>
      </c>
      <c r="L1209" t="n">
        <v>0</v>
      </c>
      <c r="M1209" t="n">
        <v>0</v>
      </c>
      <c r="N1209" t="n">
        <v>0</v>
      </c>
      <c r="O1209" t="n">
        <v>1</v>
      </c>
      <c r="P1209" t="n">
        <v>0</v>
      </c>
      <c r="Q1209" t="n">
        <v>1</v>
      </c>
      <c r="R1209" s="2" t="inlineStr">
        <is>
          <t>Vaddporing</t>
        </is>
      </c>
      <c r="S1209">
        <f>HYPERLINK("https://klasma.github.io/Logging_2403/artfynd/A 51723-2021 artfynd.xlsx", "A 51723-2021")</f>
        <v/>
      </c>
      <c r="T1209">
        <f>HYPERLINK("https://klasma.github.io/Logging_2403/kartor/A 51723-2021 karta.png", "A 51723-2021")</f>
        <v/>
      </c>
      <c r="V1209">
        <f>HYPERLINK("https://klasma.github.io/Logging_2403/klagomål/A 51723-2021 FSC-klagomål.docx", "A 51723-2021")</f>
        <v/>
      </c>
      <c r="W1209">
        <f>HYPERLINK("https://klasma.github.io/Logging_2403/klagomålsmail/A 51723-2021 FSC-klagomål mail.docx", "A 51723-2021")</f>
        <v/>
      </c>
      <c r="X1209">
        <f>HYPERLINK("https://klasma.github.io/Logging_2403/tillsyn/A 51723-2021 tillsynsbegäran.docx", "A 51723-2021")</f>
        <v/>
      </c>
      <c r="Y1209">
        <f>HYPERLINK("https://klasma.github.io/Logging_2403/tillsynsmail/A 51723-2021 tillsynsbegäran mail.docx", "A 51723-2021")</f>
        <v/>
      </c>
    </row>
    <row r="1210" ht="15" customHeight="1">
      <c r="A1210" t="inlineStr">
        <is>
          <t>A 54142-2021</t>
        </is>
      </c>
      <c r="B1210" s="1" t="n">
        <v>44470</v>
      </c>
      <c r="C1210" s="1" t="n">
        <v>45792</v>
      </c>
      <c r="D1210" t="inlineStr">
        <is>
          <t>VÄSTERBOTTENS LÄN</t>
        </is>
      </c>
      <c r="E1210" t="inlineStr">
        <is>
          <t>LYCKSELE</t>
        </is>
      </c>
      <c r="F1210" t="inlineStr">
        <is>
          <t>Sveaskog</t>
        </is>
      </c>
      <c r="G1210" t="n">
        <v>15.5</v>
      </c>
      <c r="H1210" t="n">
        <v>0</v>
      </c>
      <c r="I1210" t="n">
        <v>0</v>
      </c>
      <c r="J1210" t="n">
        <v>1</v>
      </c>
      <c r="K1210" t="n">
        <v>0</v>
      </c>
      <c r="L1210" t="n">
        <v>0</v>
      </c>
      <c r="M1210" t="n">
        <v>0</v>
      </c>
      <c r="N1210" t="n">
        <v>0</v>
      </c>
      <c r="O1210" t="n">
        <v>1</v>
      </c>
      <c r="P1210" t="n">
        <v>0</v>
      </c>
      <c r="Q1210" t="n">
        <v>1</v>
      </c>
      <c r="R1210" s="2" t="inlineStr">
        <is>
          <t>Garnlav</t>
        </is>
      </c>
      <c r="S1210">
        <f>HYPERLINK("https://klasma.github.io/Logging_2481/artfynd/A 54142-2021 artfynd.xlsx", "A 54142-2021")</f>
        <v/>
      </c>
      <c r="T1210">
        <f>HYPERLINK("https://klasma.github.io/Logging_2481/kartor/A 54142-2021 karta.png", "A 54142-2021")</f>
        <v/>
      </c>
      <c r="U1210">
        <f>HYPERLINK("https://klasma.github.io/Logging_2481/knärot/A 54142-2021 karta knärot.png", "A 54142-2021")</f>
        <v/>
      </c>
      <c r="V1210">
        <f>HYPERLINK("https://klasma.github.io/Logging_2481/klagomål/A 54142-2021 FSC-klagomål.docx", "A 54142-2021")</f>
        <v/>
      </c>
      <c r="W1210">
        <f>HYPERLINK("https://klasma.github.io/Logging_2481/klagomålsmail/A 54142-2021 FSC-klagomål mail.docx", "A 54142-2021")</f>
        <v/>
      </c>
      <c r="X1210">
        <f>HYPERLINK("https://klasma.github.io/Logging_2481/tillsyn/A 54142-2021 tillsynsbegäran.docx", "A 54142-2021")</f>
        <v/>
      </c>
      <c r="Y1210">
        <f>HYPERLINK("https://klasma.github.io/Logging_2481/tillsynsmail/A 54142-2021 tillsynsbegäran mail.docx", "A 54142-2021")</f>
        <v/>
      </c>
    </row>
    <row r="1211" ht="15" customHeight="1">
      <c r="A1211" t="inlineStr">
        <is>
          <t>A 55739-2021</t>
        </is>
      </c>
      <c r="B1211" s="1" t="n">
        <v>44476</v>
      </c>
      <c r="C1211" s="1" t="n">
        <v>45792</v>
      </c>
      <c r="D1211" t="inlineStr">
        <is>
          <t>VÄSTERBOTTENS LÄN</t>
        </is>
      </c>
      <c r="E1211" t="inlineStr">
        <is>
          <t>VILHELMINA</t>
        </is>
      </c>
      <c r="G1211" t="n">
        <v>5.5</v>
      </c>
      <c r="H1211" t="n">
        <v>0</v>
      </c>
      <c r="I1211" t="n">
        <v>0</v>
      </c>
      <c r="J1211" t="n">
        <v>1</v>
      </c>
      <c r="K1211" t="n">
        <v>0</v>
      </c>
      <c r="L1211" t="n">
        <v>0</v>
      </c>
      <c r="M1211" t="n">
        <v>0</v>
      </c>
      <c r="N1211" t="n">
        <v>0</v>
      </c>
      <c r="O1211" t="n">
        <v>1</v>
      </c>
      <c r="P1211" t="n">
        <v>0</v>
      </c>
      <c r="Q1211" t="n">
        <v>1</v>
      </c>
      <c r="R1211" s="2" t="inlineStr">
        <is>
          <t>Garnlav</t>
        </is>
      </c>
      <c r="S1211">
        <f>HYPERLINK("https://klasma.github.io/Logging_2462/artfynd/A 55739-2021 artfynd.xlsx", "A 55739-2021")</f>
        <v/>
      </c>
      <c r="T1211">
        <f>HYPERLINK("https://klasma.github.io/Logging_2462/kartor/A 55739-2021 karta.png", "A 55739-2021")</f>
        <v/>
      </c>
      <c r="V1211">
        <f>HYPERLINK("https://klasma.github.io/Logging_2462/klagomål/A 55739-2021 FSC-klagomål.docx", "A 55739-2021")</f>
        <v/>
      </c>
      <c r="W1211">
        <f>HYPERLINK("https://klasma.github.io/Logging_2462/klagomålsmail/A 55739-2021 FSC-klagomål mail.docx", "A 55739-2021")</f>
        <v/>
      </c>
      <c r="X1211">
        <f>HYPERLINK("https://klasma.github.io/Logging_2462/tillsyn/A 55739-2021 tillsynsbegäran.docx", "A 55739-2021")</f>
        <v/>
      </c>
      <c r="Y1211">
        <f>HYPERLINK("https://klasma.github.io/Logging_2462/tillsynsmail/A 55739-2021 tillsynsbegäran mail.docx", "A 55739-2021")</f>
        <v/>
      </c>
    </row>
    <row r="1212" ht="15" customHeight="1">
      <c r="A1212" t="inlineStr">
        <is>
          <t>A 57484-2021</t>
        </is>
      </c>
      <c r="B1212" s="1" t="n">
        <v>44483</v>
      </c>
      <c r="C1212" s="1" t="n">
        <v>45792</v>
      </c>
      <c r="D1212" t="inlineStr">
        <is>
          <t>VÄSTERBOTTENS LÄN</t>
        </is>
      </c>
      <c r="E1212" t="inlineStr">
        <is>
          <t>VINDELN</t>
        </is>
      </c>
      <c r="F1212" t="inlineStr">
        <is>
          <t>Holmen skog AB</t>
        </is>
      </c>
      <c r="G1212" t="n">
        <v>5.8</v>
      </c>
      <c r="H1212" t="n">
        <v>0</v>
      </c>
      <c r="I1212" t="n">
        <v>0</v>
      </c>
      <c r="J1212" t="n">
        <v>1</v>
      </c>
      <c r="K1212" t="n">
        <v>0</v>
      </c>
      <c r="L1212" t="n">
        <v>0</v>
      </c>
      <c r="M1212" t="n">
        <v>0</v>
      </c>
      <c r="N1212" t="n">
        <v>0</v>
      </c>
      <c r="O1212" t="n">
        <v>1</v>
      </c>
      <c r="P1212" t="n">
        <v>0</v>
      </c>
      <c r="Q1212" t="n">
        <v>1</v>
      </c>
      <c r="R1212" s="2" t="inlineStr">
        <is>
          <t>Granticka</t>
        </is>
      </c>
      <c r="S1212">
        <f>HYPERLINK("https://klasma.github.io/Logging_2404/artfynd/A 57484-2021 artfynd.xlsx", "A 57484-2021")</f>
        <v/>
      </c>
      <c r="T1212">
        <f>HYPERLINK("https://klasma.github.io/Logging_2404/kartor/A 57484-2021 karta.png", "A 57484-2021")</f>
        <v/>
      </c>
      <c r="V1212">
        <f>HYPERLINK("https://klasma.github.io/Logging_2404/klagomål/A 57484-2021 FSC-klagomål.docx", "A 57484-2021")</f>
        <v/>
      </c>
      <c r="W1212">
        <f>HYPERLINK("https://klasma.github.io/Logging_2404/klagomålsmail/A 57484-2021 FSC-klagomål mail.docx", "A 57484-2021")</f>
        <v/>
      </c>
      <c r="X1212">
        <f>HYPERLINK("https://klasma.github.io/Logging_2404/tillsyn/A 57484-2021 tillsynsbegäran.docx", "A 57484-2021")</f>
        <v/>
      </c>
      <c r="Y1212">
        <f>HYPERLINK("https://klasma.github.io/Logging_2404/tillsynsmail/A 57484-2021 tillsynsbegäran mail.docx", "A 57484-2021")</f>
        <v/>
      </c>
    </row>
    <row r="1213" ht="15" customHeight="1">
      <c r="A1213" t="inlineStr">
        <is>
          <t>A 57865-2021</t>
        </is>
      </c>
      <c r="B1213" s="1" t="n">
        <v>44484</v>
      </c>
      <c r="C1213" s="1" t="n">
        <v>45792</v>
      </c>
      <c r="D1213" t="inlineStr">
        <is>
          <t>VÄSTERBOTTENS LÄN</t>
        </is>
      </c>
      <c r="E1213" t="inlineStr">
        <is>
          <t>BJURHOLM</t>
        </is>
      </c>
      <c r="F1213" t="inlineStr">
        <is>
          <t>SCA</t>
        </is>
      </c>
      <c r="G1213" t="n">
        <v>2.6</v>
      </c>
      <c r="H1213" t="n">
        <v>0</v>
      </c>
      <c r="I1213" t="n">
        <v>1</v>
      </c>
      <c r="J1213" t="n">
        <v>0</v>
      </c>
      <c r="K1213" t="n">
        <v>0</v>
      </c>
      <c r="L1213" t="n">
        <v>0</v>
      </c>
      <c r="M1213" t="n">
        <v>0</v>
      </c>
      <c r="N1213" t="n">
        <v>0</v>
      </c>
      <c r="O1213" t="n">
        <v>0</v>
      </c>
      <c r="P1213" t="n">
        <v>0</v>
      </c>
      <c r="Q1213" t="n">
        <v>1</v>
      </c>
      <c r="R1213" s="2" t="inlineStr">
        <is>
          <t>Stor aspticka</t>
        </is>
      </c>
      <c r="S1213">
        <f>HYPERLINK("https://klasma.github.io/Logging_2403/artfynd/A 57865-2021 artfynd.xlsx", "A 57865-2021")</f>
        <v/>
      </c>
      <c r="T1213">
        <f>HYPERLINK("https://klasma.github.io/Logging_2403/kartor/A 57865-2021 karta.png", "A 57865-2021")</f>
        <v/>
      </c>
      <c r="V1213">
        <f>HYPERLINK("https://klasma.github.io/Logging_2403/klagomål/A 57865-2021 FSC-klagomål.docx", "A 57865-2021")</f>
        <v/>
      </c>
      <c r="W1213">
        <f>HYPERLINK("https://klasma.github.io/Logging_2403/klagomålsmail/A 57865-2021 FSC-klagomål mail.docx", "A 57865-2021")</f>
        <v/>
      </c>
      <c r="X1213">
        <f>HYPERLINK("https://klasma.github.io/Logging_2403/tillsyn/A 57865-2021 tillsynsbegäran.docx", "A 57865-2021")</f>
        <v/>
      </c>
      <c r="Y1213">
        <f>HYPERLINK("https://klasma.github.io/Logging_2403/tillsynsmail/A 57865-2021 tillsynsbegäran mail.docx", "A 57865-2021")</f>
        <v/>
      </c>
    </row>
    <row r="1214" ht="15" customHeight="1">
      <c r="A1214" t="inlineStr">
        <is>
          <t>A 58766-2021</t>
        </is>
      </c>
      <c r="B1214" s="1" t="n">
        <v>44489</v>
      </c>
      <c r="C1214" s="1" t="n">
        <v>45792</v>
      </c>
      <c r="D1214" t="inlineStr">
        <is>
          <t>VÄSTERBOTTENS LÄN</t>
        </is>
      </c>
      <c r="E1214" t="inlineStr">
        <is>
          <t>SKELLEFTEÅ</t>
        </is>
      </c>
      <c r="G1214" t="n">
        <v>5.5</v>
      </c>
      <c r="H1214" t="n">
        <v>0</v>
      </c>
      <c r="I1214" t="n">
        <v>0</v>
      </c>
      <c r="J1214" t="n">
        <v>1</v>
      </c>
      <c r="K1214" t="n">
        <v>0</v>
      </c>
      <c r="L1214" t="n">
        <v>0</v>
      </c>
      <c r="M1214" t="n">
        <v>0</v>
      </c>
      <c r="N1214" t="n">
        <v>0</v>
      </c>
      <c r="O1214" t="n">
        <v>1</v>
      </c>
      <c r="P1214" t="n">
        <v>0</v>
      </c>
      <c r="Q1214" t="n">
        <v>1</v>
      </c>
      <c r="R1214" s="2" t="inlineStr">
        <is>
          <t>Stjärntagging</t>
        </is>
      </c>
      <c r="S1214">
        <f>HYPERLINK("https://klasma.github.io/Logging_2482/artfynd/A 58766-2021 artfynd.xlsx", "A 58766-2021")</f>
        <v/>
      </c>
      <c r="T1214">
        <f>HYPERLINK("https://klasma.github.io/Logging_2482/kartor/A 58766-2021 karta.png", "A 58766-2021")</f>
        <v/>
      </c>
      <c r="V1214">
        <f>HYPERLINK("https://klasma.github.io/Logging_2482/klagomål/A 58766-2021 FSC-klagomål.docx", "A 58766-2021")</f>
        <v/>
      </c>
      <c r="W1214">
        <f>HYPERLINK("https://klasma.github.io/Logging_2482/klagomålsmail/A 58766-2021 FSC-klagomål mail.docx", "A 58766-2021")</f>
        <v/>
      </c>
      <c r="X1214">
        <f>HYPERLINK("https://klasma.github.io/Logging_2482/tillsyn/A 58766-2021 tillsynsbegäran.docx", "A 58766-2021")</f>
        <v/>
      </c>
      <c r="Y1214">
        <f>HYPERLINK("https://klasma.github.io/Logging_2482/tillsynsmail/A 58766-2021 tillsynsbegäran mail.docx", "A 58766-2021")</f>
        <v/>
      </c>
    </row>
    <row r="1215" ht="15" customHeight="1">
      <c r="A1215" t="inlineStr">
        <is>
          <t>A 59780-2021</t>
        </is>
      </c>
      <c r="B1215" s="1" t="n">
        <v>44494</v>
      </c>
      <c r="C1215" s="1" t="n">
        <v>45792</v>
      </c>
      <c r="D1215" t="inlineStr">
        <is>
          <t>VÄSTERBOTTENS LÄN</t>
        </is>
      </c>
      <c r="E1215" t="inlineStr">
        <is>
          <t>LYCKSELE</t>
        </is>
      </c>
      <c r="F1215" t="inlineStr">
        <is>
          <t>Sveaskog</t>
        </is>
      </c>
      <c r="G1215" t="n">
        <v>5</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59780-2021 artfynd.xlsx", "A 59780-2021")</f>
        <v/>
      </c>
      <c r="T1215">
        <f>HYPERLINK("https://klasma.github.io/Logging_2481/kartor/A 59780-2021 karta.png", "A 59780-2021")</f>
        <v/>
      </c>
      <c r="V1215">
        <f>HYPERLINK("https://klasma.github.io/Logging_2481/klagomål/A 59780-2021 FSC-klagomål.docx", "A 59780-2021")</f>
        <v/>
      </c>
      <c r="W1215">
        <f>HYPERLINK("https://klasma.github.io/Logging_2481/klagomålsmail/A 59780-2021 FSC-klagomål mail.docx", "A 59780-2021")</f>
        <v/>
      </c>
      <c r="X1215">
        <f>HYPERLINK("https://klasma.github.io/Logging_2481/tillsyn/A 59780-2021 tillsynsbegäran.docx", "A 59780-2021")</f>
        <v/>
      </c>
      <c r="Y1215">
        <f>HYPERLINK("https://klasma.github.io/Logging_2481/tillsynsmail/A 59780-2021 tillsynsbegäran mail.docx", "A 59780-2021")</f>
        <v/>
      </c>
    </row>
    <row r="1216" ht="15" customHeight="1">
      <c r="A1216" t="inlineStr">
        <is>
          <t>A 60369-2021</t>
        </is>
      </c>
      <c r="B1216" s="1" t="n">
        <v>44494</v>
      </c>
      <c r="C1216" s="1" t="n">
        <v>45792</v>
      </c>
      <c r="D1216" t="inlineStr">
        <is>
          <t>VÄSTERBOTTENS LÄN</t>
        </is>
      </c>
      <c r="E1216" t="inlineStr">
        <is>
          <t>VILHELMINA</t>
        </is>
      </c>
      <c r="G1216" t="n">
        <v>0.6</v>
      </c>
      <c r="H1216" t="n">
        <v>0</v>
      </c>
      <c r="I1216" t="n">
        <v>1</v>
      </c>
      <c r="J1216" t="n">
        <v>0</v>
      </c>
      <c r="K1216" t="n">
        <v>0</v>
      </c>
      <c r="L1216" t="n">
        <v>0</v>
      </c>
      <c r="M1216" t="n">
        <v>0</v>
      </c>
      <c r="N1216" t="n">
        <v>0</v>
      </c>
      <c r="O1216" t="n">
        <v>0</v>
      </c>
      <c r="P1216" t="n">
        <v>0</v>
      </c>
      <c r="Q1216" t="n">
        <v>1</v>
      </c>
      <c r="R1216" s="2" t="inlineStr">
        <is>
          <t>Stuplav</t>
        </is>
      </c>
      <c r="S1216">
        <f>HYPERLINK("https://klasma.github.io/Logging_2462/artfynd/A 60369-2021 artfynd.xlsx", "A 60369-2021")</f>
        <v/>
      </c>
      <c r="T1216">
        <f>HYPERLINK("https://klasma.github.io/Logging_2462/kartor/A 60369-2021 karta.png", "A 60369-2021")</f>
        <v/>
      </c>
      <c r="V1216">
        <f>HYPERLINK("https://klasma.github.io/Logging_2462/klagomål/A 60369-2021 FSC-klagomål.docx", "A 60369-2021")</f>
        <v/>
      </c>
      <c r="W1216">
        <f>HYPERLINK("https://klasma.github.io/Logging_2462/klagomålsmail/A 60369-2021 FSC-klagomål mail.docx", "A 60369-2021")</f>
        <v/>
      </c>
      <c r="X1216">
        <f>HYPERLINK("https://klasma.github.io/Logging_2462/tillsyn/A 60369-2021 tillsynsbegäran.docx", "A 60369-2021")</f>
        <v/>
      </c>
      <c r="Y1216">
        <f>HYPERLINK("https://klasma.github.io/Logging_2462/tillsynsmail/A 60369-2021 tillsynsbegäran mail.docx", "A 60369-2021")</f>
        <v/>
      </c>
    </row>
    <row r="1217" ht="15" customHeight="1">
      <c r="A1217" t="inlineStr">
        <is>
          <t>A 60045-2021</t>
        </is>
      </c>
      <c r="B1217" s="1" t="n">
        <v>44495</v>
      </c>
      <c r="C1217" s="1" t="n">
        <v>45792</v>
      </c>
      <c r="D1217" t="inlineStr">
        <is>
          <t>VÄSTERBOTTENS LÄN</t>
        </is>
      </c>
      <c r="E1217" t="inlineStr">
        <is>
          <t>LYCKSELE</t>
        </is>
      </c>
      <c r="F1217" t="inlineStr">
        <is>
          <t>Sveaskog</t>
        </is>
      </c>
      <c r="G1217" t="n">
        <v>0.6</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60045-2021 artfynd.xlsx", "A 60045-2021")</f>
        <v/>
      </c>
      <c r="T1217">
        <f>HYPERLINK("https://klasma.github.io/Logging_2481/kartor/A 60045-2021 karta.png", "A 60045-2021")</f>
        <v/>
      </c>
      <c r="V1217">
        <f>HYPERLINK("https://klasma.github.io/Logging_2481/klagomål/A 60045-2021 FSC-klagomål.docx", "A 60045-2021")</f>
        <v/>
      </c>
      <c r="W1217">
        <f>HYPERLINK("https://klasma.github.io/Logging_2481/klagomålsmail/A 60045-2021 FSC-klagomål mail.docx", "A 60045-2021")</f>
        <v/>
      </c>
      <c r="X1217">
        <f>HYPERLINK("https://klasma.github.io/Logging_2481/tillsyn/A 60045-2021 tillsynsbegäran.docx", "A 60045-2021")</f>
        <v/>
      </c>
      <c r="Y1217">
        <f>HYPERLINK("https://klasma.github.io/Logging_2481/tillsynsmail/A 60045-2021 tillsynsbegäran mail.docx", "A 60045-2021")</f>
        <v/>
      </c>
    </row>
    <row r="1218" ht="15" customHeight="1">
      <c r="A1218" t="inlineStr">
        <is>
          <t>A 60309-2021</t>
        </is>
      </c>
      <c r="B1218" s="1" t="n">
        <v>44495</v>
      </c>
      <c r="C1218" s="1" t="n">
        <v>45792</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Gränsticka</t>
        </is>
      </c>
      <c r="S1218">
        <f>HYPERLINK("https://klasma.github.io/Logging_2401/artfynd/A 60309-2021 artfynd.xlsx", "A 60309-2021")</f>
        <v/>
      </c>
      <c r="T1218">
        <f>HYPERLINK("https://klasma.github.io/Logging_2401/kartor/A 60309-2021 karta.png", "A 60309-2021")</f>
        <v/>
      </c>
      <c r="V1218">
        <f>HYPERLINK("https://klasma.github.io/Logging_2401/klagomål/A 60309-2021 FSC-klagomål.docx", "A 60309-2021")</f>
        <v/>
      </c>
      <c r="W1218">
        <f>HYPERLINK("https://klasma.github.io/Logging_2401/klagomålsmail/A 60309-2021 FSC-klagomål mail.docx", "A 60309-2021")</f>
        <v/>
      </c>
      <c r="X1218">
        <f>HYPERLINK("https://klasma.github.io/Logging_2401/tillsyn/A 60309-2021 tillsynsbegäran.docx", "A 60309-2021")</f>
        <v/>
      </c>
      <c r="Y1218">
        <f>HYPERLINK("https://klasma.github.io/Logging_2401/tillsynsmail/A 60309-2021 tillsynsbegäran mail.docx", "A 60309-2021")</f>
        <v/>
      </c>
    </row>
    <row r="1219" ht="15" customHeight="1">
      <c r="A1219" t="inlineStr">
        <is>
          <t>A 60310-2021</t>
        </is>
      </c>
      <c r="B1219" s="1" t="n">
        <v>44495</v>
      </c>
      <c r="C1219" s="1" t="n">
        <v>45792</v>
      </c>
      <c r="D1219" t="inlineStr">
        <is>
          <t>VÄSTERBOTTENS LÄN</t>
        </is>
      </c>
      <c r="E1219" t="inlineStr">
        <is>
          <t>NORDMALING</t>
        </is>
      </c>
      <c r="F1219" t="inlineStr">
        <is>
          <t>SCA</t>
        </is>
      </c>
      <c r="G1219" t="n">
        <v>1.2</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HYPERLINK("https://klasma.github.io/Logging_2401/artfynd/A 60310-2021 artfynd.xlsx", "A 60310-2021")</f>
        <v/>
      </c>
      <c r="T1219">
        <f>HYPERLINK("https://klasma.github.io/Logging_2401/kartor/A 60310-2021 karta.png", "A 60310-2021")</f>
        <v/>
      </c>
      <c r="V1219">
        <f>HYPERLINK("https://klasma.github.io/Logging_2401/klagomål/A 60310-2021 FSC-klagomål.docx", "A 60310-2021")</f>
        <v/>
      </c>
      <c r="W1219">
        <f>HYPERLINK("https://klasma.github.io/Logging_2401/klagomålsmail/A 60310-2021 FSC-klagomål mail.docx", "A 60310-2021")</f>
        <v/>
      </c>
      <c r="X1219">
        <f>HYPERLINK("https://klasma.github.io/Logging_2401/tillsyn/A 60310-2021 tillsynsbegäran.docx", "A 60310-2021")</f>
        <v/>
      </c>
      <c r="Y1219">
        <f>HYPERLINK("https://klasma.github.io/Logging_2401/tillsynsmail/A 60310-2021 tillsynsbegäran mail.docx", "A 60310-2021")</f>
        <v/>
      </c>
    </row>
    <row r="1220" ht="15" customHeight="1">
      <c r="A1220" t="inlineStr">
        <is>
          <t>A 60651-2021</t>
        </is>
      </c>
      <c r="B1220" s="1" t="n">
        <v>44496</v>
      </c>
      <c r="C1220" s="1" t="n">
        <v>45792</v>
      </c>
      <c r="D1220" t="inlineStr">
        <is>
          <t>VÄSTERBOTTENS LÄN</t>
        </is>
      </c>
      <c r="E1220" t="inlineStr">
        <is>
          <t>VINDELN</t>
        </is>
      </c>
      <c r="F1220" t="inlineStr">
        <is>
          <t>Sveaskog</t>
        </is>
      </c>
      <c r="G1220" t="n">
        <v>3.7</v>
      </c>
      <c r="H1220" t="n">
        <v>0</v>
      </c>
      <c r="I1220" t="n">
        <v>0</v>
      </c>
      <c r="J1220" t="n">
        <v>1</v>
      </c>
      <c r="K1220" t="n">
        <v>0</v>
      </c>
      <c r="L1220" t="n">
        <v>0</v>
      </c>
      <c r="M1220" t="n">
        <v>0</v>
      </c>
      <c r="N1220" t="n">
        <v>0</v>
      </c>
      <c r="O1220" t="n">
        <v>1</v>
      </c>
      <c r="P1220" t="n">
        <v>0</v>
      </c>
      <c r="Q1220" t="n">
        <v>1</v>
      </c>
      <c r="R1220" s="2" t="inlineStr">
        <is>
          <t>Lunglav</t>
        </is>
      </c>
      <c r="S1220">
        <f>HYPERLINK("https://klasma.github.io/Logging_2404/artfynd/A 60651-2021 artfynd.xlsx", "A 60651-2021")</f>
        <v/>
      </c>
      <c r="T1220">
        <f>HYPERLINK("https://klasma.github.io/Logging_2404/kartor/A 60651-2021 karta.png", "A 60651-2021")</f>
        <v/>
      </c>
      <c r="V1220">
        <f>HYPERLINK("https://klasma.github.io/Logging_2404/klagomål/A 60651-2021 FSC-klagomål.docx", "A 60651-2021")</f>
        <v/>
      </c>
      <c r="W1220">
        <f>HYPERLINK("https://klasma.github.io/Logging_2404/klagomålsmail/A 60651-2021 FSC-klagomål mail.docx", "A 60651-2021")</f>
        <v/>
      </c>
      <c r="X1220">
        <f>HYPERLINK("https://klasma.github.io/Logging_2404/tillsyn/A 60651-2021 tillsynsbegäran.docx", "A 60651-2021")</f>
        <v/>
      </c>
      <c r="Y1220">
        <f>HYPERLINK("https://klasma.github.io/Logging_2404/tillsynsmail/A 60651-2021 tillsynsbegäran mail.docx", "A 60651-2021")</f>
        <v/>
      </c>
    </row>
    <row r="1221" ht="15" customHeight="1">
      <c r="A1221" t="inlineStr">
        <is>
          <t>A 60833-2021</t>
        </is>
      </c>
      <c r="B1221" s="1" t="n">
        <v>44497</v>
      </c>
      <c r="C1221" s="1" t="n">
        <v>45792</v>
      </c>
      <c r="D1221" t="inlineStr">
        <is>
          <t>VÄSTERBOTTENS LÄN</t>
        </is>
      </c>
      <c r="E1221" t="inlineStr">
        <is>
          <t>ROBERTSFORS</t>
        </is>
      </c>
      <c r="G1221" t="n">
        <v>1.9</v>
      </c>
      <c r="H1221" t="n">
        <v>0</v>
      </c>
      <c r="I1221" t="n">
        <v>1</v>
      </c>
      <c r="J1221" t="n">
        <v>0</v>
      </c>
      <c r="K1221" t="n">
        <v>0</v>
      </c>
      <c r="L1221" t="n">
        <v>0</v>
      </c>
      <c r="M1221" t="n">
        <v>0</v>
      </c>
      <c r="N1221" t="n">
        <v>0</v>
      </c>
      <c r="O1221" t="n">
        <v>0</v>
      </c>
      <c r="P1221" t="n">
        <v>0</v>
      </c>
      <c r="Q1221" t="n">
        <v>1</v>
      </c>
      <c r="R1221" s="2" t="inlineStr">
        <is>
          <t>Stuplav</t>
        </is>
      </c>
      <c r="S1221">
        <f>HYPERLINK("https://klasma.github.io/Logging_2409/artfynd/A 60833-2021 artfynd.xlsx", "A 60833-2021")</f>
        <v/>
      </c>
      <c r="T1221">
        <f>HYPERLINK("https://klasma.github.io/Logging_2409/kartor/A 60833-2021 karta.png", "A 60833-2021")</f>
        <v/>
      </c>
      <c r="V1221">
        <f>HYPERLINK("https://klasma.github.io/Logging_2409/klagomål/A 60833-2021 FSC-klagomål.docx", "A 60833-2021")</f>
        <v/>
      </c>
      <c r="W1221">
        <f>HYPERLINK("https://klasma.github.io/Logging_2409/klagomålsmail/A 60833-2021 FSC-klagomål mail.docx", "A 60833-2021")</f>
        <v/>
      </c>
      <c r="X1221">
        <f>HYPERLINK("https://klasma.github.io/Logging_2409/tillsyn/A 60833-2021 tillsynsbegäran.docx", "A 60833-2021")</f>
        <v/>
      </c>
      <c r="Y1221">
        <f>HYPERLINK("https://klasma.github.io/Logging_2409/tillsynsmail/A 60833-2021 tillsynsbegäran mail.docx", "A 60833-2021")</f>
        <v/>
      </c>
    </row>
    <row r="1222" ht="15" customHeight="1">
      <c r="A1222" t="inlineStr">
        <is>
          <t>A 61658-2021</t>
        </is>
      </c>
      <c r="B1222" s="1" t="n">
        <v>44501</v>
      </c>
      <c r="C1222" s="1" t="n">
        <v>45792</v>
      </c>
      <c r="D1222" t="inlineStr">
        <is>
          <t>VÄSTERBOTTENS LÄN</t>
        </is>
      </c>
      <c r="E1222" t="inlineStr">
        <is>
          <t>SKELLEFTEÅ</t>
        </is>
      </c>
      <c r="F1222" t="inlineStr">
        <is>
          <t>Sveaskog</t>
        </is>
      </c>
      <c r="G1222" t="n">
        <v>16.3</v>
      </c>
      <c r="H1222" t="n">
        <v>1</v>
      </c>
      <c r="I1222" t="n">
        <v>0</v>
      </c>
      <c r="J1222" t="n">
        <v>0</v>
      </c>
      <c r="K1222" t="n">
        <v>0</v>
      </c>
      <c r="L1222" t="n">
        <v>0</v>
      </c>
      <c r="M1222" t="n">
        <v>0</v>
      </c>
      <c r="N1222" t="n">
        <v>0</v>
      </c>
      <c r="O1222" t="n">
        <v>0</v>
      </c>
      <c r="P1222" t="n">
        <v>0</v>
      </c>
      <c r="Q1222" t="n">
        <v>1</v>
      </c>
      <c r="R1222" s="2" t="inlineStr">
        <is>
          <t>Revlummer</t>
        </is>
      </c>
      <c r="S1222">
        <f>HYPERLINK("https://klasma.github.io/Logging_2482/artfynd/A 61658-2021 artfynd.xlsx", "A 61658-2021")</f>
        <v/>
      </c>
      <c r="T1222">
        <f>HYPERLINK("https://klasma.github.io/Logging_2482/kartor/A 61658-2021 karta.png", "A 61658-2021")</f>
        <v/>
      </c>
      <c r="V1222">
        <f>HYPERLINK("https://klasma.github.io/Logging_2482/klagomål/A 61658-2021 FSC-klagomål.docx", "A 61658-2021")</f>
        <v/>
      </c>
      <c r="W1222">
        <f>HYPERLINK("https://klasma.github.io/Logging_2482/klagomålsmail/A 61658-2021 FSC-klagomål mail.docx", "A 61658-2021")</f>
        <v/>
      </c>
      <c r="X1222">
        <f>HYPERLINK("https://klasma.github.io/Logging_2482/tillsyn/A 61658-2021 tillsynsbegäran.docx", "A 61658-2021")</f>
        <v/>
      </c>
      <c r="Y1222">
        <f>HYPERLINK("https://klasma.github.io/Logging_2482/tillsynsmail/A 61658-2021 tillsynsbegäran mail.docx", "A 61658-2021")</f>
        <v/>
      </c>
    </row>
    <row r="1223" ht="15" customHeight="1">
      <c r="A1223" t="inlineStr">
        <is>
          <t>A 61850-2021</t>
        </is>
      </c>
      <c r="B1223" s="1" t="n">
        <v>44501</v>
      </c>
      <c r="C1223" s="1" t="n">
        <v>45792</v>
      </c>
      <c r="D1223" t="inlineStr">
        <is>
          <t>VÄSTERBOTTENS LÄN</t>
        </is>
      </c>
      <c r="E1223" t="inlineStr">
        <is>
          <t>ÅSELE</t>
        </is>
      </c>
      <c r="F1223" t="inlineStr">
        <is>
          <t>SCA</t>
        </is>
      </c>
      <c r="G1223" t="n">
        <v>12.9</v>
      </c>
      <c r="H1223" t="n">
        <v>0</v>
      </c>
      <c r="I1223" t="n">
        <v>1</v>
      </c>
      <c r="J1223" t="n">
        <v>0</v>
      </c>
      <c r="K1223" t="n">
        <v>0</v>
      </c>
      <c r="L1223" t="n">
        <v>0</v>
      </c>
      <c r="M1223" t="n">
        <v>0</v>
      </c>
      <c r="N1223" t="n">
        <v>0</v>
      </c>
      <c r="O1223" t="n">
        <v>0</v>
      </c>
      <c r="P1223" t="n">
        <v>0</v>
      </c>
      <c r="Q1223" t="n">
        <v>1</v>
      </c>
      <c r="R1223" s="2" t="inlineStr">
        <is>
          <t>Skinnlav</t>
        </is>
      </c>
      <c r="S1223">
        <f>HYPERLINK("https://klasma.github.io/Logging_2463/artfynd/A 61850-2021 artfynd.xlsx", "A 61850-2021")</f>
        <v/>
      </c>
      <c r="T1223">
        <f>HYPERLINK("https://klasma.github.io/Logging_2463/kartor/A 61850-2021 karta.png", "A 61850-2021")</f>
        <v/>
      </c>
      <c r="V1223">
        <f>HYPERLINK("https://klasma.github.io/Logging_2463/klagomål/A 61850-2021 FSC-klagomål.docx", "A 61850-2021")</f>
        <v/>
      </c>
      <c r="W1223">
        <f>HYPERLINK("https://klasma.github.io/Logging_2463/klagomålsmail/A 61850-2021 FSC-klagomål mail.docx", "A 61850-2021")</f>
        <v/>
      </c>
      <c r="X1223">
        <f>HYPERLINK("https://klasma.github.io/Logging_2463/tillsyn/A 61850-2021 tillsynsbegäran.docx", "A 61850-2021")</f>
        <v/>
      </c>
      <c r="Y1223">
        <f>HYPERLINK("https://klasma.github.io/Logging_2463/tillsynsmail/A 61850-2021 tillsynsbegäran mail.docx", "A 61850-2021")</f>
        <v/>
      </c>
    </row>
    <row r="1224" ht="15" customHeight="1">
      <c r="A1224" t="inlineStr">
        <is>
          <t>A 62436-2021</t>
        </is>
      </c>
      <c r="B1224" s="1" t="n">
        <v>44503</v>
      </c>
      <c r="C1224" s="1" t="n">
        <v>45792</v>
      </c>
      <c r="D1224" t="inlineStr">
        <is>
          <t>VÄSTERBOTTENS LÄN</t>
        </is>
      </c>
      <c r="E1224" t="inlineStr">
        <is>
          <t>SKELLEFTEÅ</t>
        </is>
      </c>
      <c r="F1224" t="inlineStr">
        <is>
          <t>Holmen skog AB</t>
        </is>
      </c>
      <c r="G1224" t="n">
        <v>19.5</v>
      </c>
      <c r="H1224" t="n">
        <v>0</v>
      </c>
      <c r="I1224" t="n">
        <v>0</v>
      </c>
      <c r="J1224" t="n">
        <v>1</v>
      </c>
      <c r="K1224" t="n">
        <v>0</v>
      </c>
      <c r="L1224" t="n">
        <v>0</v>
      </c>
      <c r="M1224" t="n">
        <v>0</v>
      </c>
      <c r="N1224" t="n">
        <v>0</v>
      </c>
      <c r="O1224" t="n">
        <v>1</v>
      </c>
      <c r="P1224" t="n">
        <v>0</v>
      </c>
      <c r="Q1224" t="n">
        <v>1</v>
      </c>
      <c r="R1224" s="2" t="inlineStr">
        <is>
          <t>Lunglav</t>
        </is>
      </c>
      <c r="S1224">
        <f>HYPERLINK("https://klasma.github.io/Logging_2482/artfynd/A 62436-2021 artfynd.xlsx", "A 62436-2021")</f>
        <v/>
      </c>
      <c r="T1224">
        <f>HYPERLINK("https://klasma.github.io/Logging_2482/kartor/A 62436-2021 karta.png", "A 62436-2021")</f>
        <v/>
      </c>
      <c r="V1224">
        <f>HYPERLINK("https://klasma.github.io/Logging_2482/klagomål/A 62436-2021 FSC-klagomål.docx", "A 62436-2021")</f>
        <v/>
      </c>
      <c r="W1224">
        <f>HYPERLINK("https://klasma.github.io/Logging_2482/klagomålsmail/A 62436-2021 FSC-klagomål mail.docx", "A 62436-2021")</f>
        <v/>
      </c>
      <c r="X1224">
        <f>HYPERLINK("https://klasma.github.io/Logging_2482/tillsyn/A 62436-2021 tillsynsbegäran.docx", "A 62436-2021")</f>
        <v/>
      </c>
      <c r="Y1224">
        <f>HYPERLINK("https://klasma.github.io/Logging_2482/tillsynsmail/A 62436-2021 tillsynsbegäran mail.docx", "A 62436-2021")</f>
        <v/>
      </c>
    </row>
    <row r="1225" ht="15" customHeight="1">
      <c r="A1225" t="inlineStr">
        <is>
          <t>A 66924-2021</t>
        </is>
      </c>
      <c r="B1225" s="1" t="n">
        <v>44522</v>
      </c>
      <c r="C1225" s="1" t="n">
        <v>45792</v>
      </c>
      <c r="D1225" t="inlineStr">
        <is>
          <t>VÄSTERBOTTENS LÄN</t>
        </is>
      </c>
      <c r="E1225" t="inlineStr">
        <is>
          <t>VILHELMINA</t>
        </is>
      </c>
      <c r="F1225" t="inlineStr">
        <is>
          <t>Allmännings- och besparingsskogar</t>
        </is>
      </c>
      <c r="G1225" t="n">
        <v>335.4</v>
      </c>
      <c r="H1225" t="n">
        <v>1</v>
      </c>
      <c r="I1225" t="n">
        <v>0</v>
      </c>
      <c r="J1225" t="n">
        <v>1</v>
      </c>
      <c r="K1225" t="n">
        <v>0</v>
      </c>
      <c r="L1225" t="n">
        <v>0</v>
      </c>
      <c r="M1225" t="n">
        <v>0</v>
      </c>
      <c r="N1225" t="n">
        <v>0</v>
      </c>
      <c r="O1225" t="n">
        <v>1</v>
      </c>
      <c r="P1225" t="n">
        <v>0</v>
      </c>
      <c r="Q1225" t="n">
        <v>1</v>
      </c>
      <c r="R1225" s="2" t="inlineStr">
        <is>
          <t>Utter</t>
        </is>
      </c>
      <c r="S1225">
        <f>HYPERLINK("https://klasma.github.io/Logging_2462/artfynd/A 66924-2021 artfynd.xlsx", "A 66924-2021")</f>
        <v/>
      </c>
      <c r="T1225">
        <f>HYPERLINK("https://klasma.github.io/Logging_2462/kartor/A 66924-2021 karta.png", "A 66924-2021")</f>
        <v/>
      </c>
      <c r="V1225">
        <f>HYPERLINK("https://klasma.github.io/Logging_2462/klagomål/A 66924-2021 FSC-klagomål.docx", "A 66924-2021")</f>
        <v/>
      </c>
      <c r="W1225">
        <f>HYPERLINK("https://klasma.github.io/Logging_2462/klagomålsmail/A 66924-2021 FSC-klagomål mail.docx", "A 66924-2021")</f>
        <v/>
      </c>
      <c r="X1225">
        <f>HYPERLINK("https://klasma.github.io/Logging_2462/tillsyn/A 66924-2021 tillsynsbegäran.docx", "A 66924-2021")</f>
        <v/>
      </c>
      <c r="Y1225">
        <f>HYPERLINK("https://klasma.github.io/Logging_2462/tillsynsmail/A 66924-2021 tillsynsbegäran mail.docx", "A 66924-2021")</f>
        <v/>
      </c>
    </row>
    <row r="1226" ht="15" customHeight="1">
      <c r="A1226" t="inlineStr">
        <is>
          <t>A 67790-2021</t>
        </is>
      </c>
      <c r="B1226" s="1" t="n">
        <v>44526</v>
      </c>
      <c r="C1226" s="1" t="n">
        <v>45792</v>
      </c>
      <c r="D1226" t="inlineStr">
        <is>
          <t>VÄSTERBOTTENS LÄN</t>
        </is>
      </c>
      <c r="E1226" t="inlineStr">
        <is>
          <t>DOROTEA</t>
        </is>
      </c>
      <c r="F1226" t="inlineStr">
        <is>
          <t>Övriga statliga verk och myndigheter</t>
        </is>
      </c>
      <c r="G1226" t="n">
        <v>3.2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HYPERLINK("https://klasma.github.io/Logging_2425/artfynd/A 67790-2021 artfynd.xlsx", "A 67790-2021")</f>
        <v/>
      </c>
      <c r="T1226">
        <f>HYPERLINK("https://klasma.github.io/Logging_2425/kartor/A 67790-2021 karta.png", "A 67790-2021")</f>
        <v/>
      </c>
      <c r="V1226">
        <f>HYPERLINK("https://klasma.github.io/Logging_2425/klagomål/A 67790-2021 FSC-klagomål.docx", "A 67790-2021")</f>
        <v/>
      </c>
      <c r="W1226">
        <f>HYPERLINK("https://klasma.github.io/Logging_2425/klagomålsmail/A 67790-2021 FSC-klagomål mail.docx", "A 67790-2021")</f>
        <v/>
      </c>
      <c r="X1226">
        <f>HYPERLINK("https://klasma.github.io/Logging_2425/tillsyn/A 67790-2021 tillsynsbegäran.docx", "A 67790-2021")</f>
        <v/>
      </c>
      <c r="Y1226">
        <f>HYPERLINK("https://klasma.github.io/Logging_2425/tillsynsmail/A 67790-2021 tillsynsbegäran mail.docx", "A 67790-2021")</f>
        <v/>
      </c>
      <c r="Z1226">
        <f>HYPERLINK("https://klasma.github.io/Logging_2425/fåglar/A 67790-2021 prioriterade fågelarter.docx", "A 67790-2021")</f>
        <v/>
      </c>
    </row>
    <row r="1227" ht="15" customHeight="1">
      <c r="A1227" t="inlineStr">
        <is>
          <t>A 68783-2021</t>
        </is>
      </c>
      <c r="B1227" s="1" t="n">
        <v>44529</v>
      </c>
      <c r="C1227" s="1" t="n">
        <v>45792</v>
      </c>
      <c r="D1227" t="inlineStr">
        <is>
          <t>VÄSTERBOTTENS LÄN</t>
        </is>
      </c>
      <c r="E1227" t="inlineStr">
        <is>
          <t>VILHELMINA</t>
        </is>
      </c>
      <c r="F1227" t="inlineStr">
        <is>
          <t>SCA</t>
        </is>
      </c>
      <c r="G1227" t="n">
        <v>7.3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68783-2021 artfynd.xlsx", "A 68783-2021")</f>
        <v/>
      </c>
      <c r="T1227">
        <f>HYPERLINK("https://klasma.github.io/Logging_2462/kartor/A 68783-2021 karta.png", "A 68783-2021")</f>
        <v/>
      </c>
      <c r="V1227">
        <f>HYPERLINK("https://klasma.github.io/Logging_2462/klagomål/A 68783-2021 FSC-klagomål.docx", "A 68783-2021")</f>
        <v/>
      </c>
      <c r="W1227">
        <f>HYPERLINK("https://klasma.github.io/Logging_2462/klagomålsmail/A 68783-2021 FSC-klagomål mail.docx", "A 68783-2021")</f>
        <v/>
      </c>
      <c r="X1227">
        <f>HYPERLINK("https://klasma.github.io/Logging_2462/tillsyn/A 68783-2021 tillsynsbegäran.docx", "A 68783-2021")</f>
        <v/>
      </c>
      <c r="Y1227">
        <f>HYPERLINK("https://klasma.github.io/Logging_2462/tillsynsmail/A 68783-2021 tillsynsbegäran mail.docx", "A 68783-2021")</f>
        <v/>
      </c>
      <c r="Z1227">
        <f>HYPERLINK("https://klasma.github.io/Logging_2462/fåglar/A 68783-2021 prioriterade fågelarter.docx", "A 68783-2021")</f>
        <v/>
      </c>
    </row>
    <row r="1228" ht="15" customHeight="1">
      <c r="A1228" t="inlineStr">
        <is>
          <t>A 69545-2021</t>
        </is>
      </c>
      <c r="B1228" s="1" t="n">
        <v>44531</v>
      </c>
      <c r="C1228" s="1" t="n">
        <v>45792</v>
      </c>
      <c r="D1228" t="inlineStr">
        <is>
          <t>VÄSTERBOTTENS LÄN</t>
        </is>
      </c>
      <c r="E1228" t="inlineStr">
        <is>
          <t>VILHELMINA</t>
        </is>
      </c>
      <c r="F1228" t="inlineStr">
        <is>
          <t>SCA</t>
        </is>
      </c>
      <c r="G1228" t="n">
        <v>3.8</v>
      </c>
      <c r="H1228" t="n">
        <v>0</v>
      </c>
      <c r="I1228" t="n">
        <v>1</v>
      </c>
      <c r="J1228" t="n">
        <v>0</v>
      </c>
      <c r="K1228" t="n">
        <v>0</v>
      </c>
      <c r="L1228" t="n">
        <v>0</v>
      </c>
      <c r="M1228" t="n">
        <v>0</v>
      </c>
      <c r="N1228" t="n">
        <v>0</v>
      </c>
      <c r="O1228" t="n">
        <v>0</v>
      </c>
      <c r="P1228" t="n">
        <v>0</v>
      </c>
      <c r="Q1228" t="n">
        <v>1</v>
      </c>
      <c r="R1228" s="2" t="inlineStr">
        <is>
          <t>Norrlandslav</t>
        </is>
      </c>
      <c r="S1228">
        <f>HYPERLINK("https://klasma.github.io/Logging_2462/artfynd/A 69545-2021 artfynd.xlsx", "A 69545-2021")</f>
        <v/>
      </c>
      <c r="T1228">
        <f>HYPERLINK("https://klasma.github.io/Logging_2462/kartor/A 69545-2021 karta.png", "A 69545-2021")</f>
        <v/>
      </c>
      <c r="V1228">
        <f>HYPERLINK("https://klasma.github.io/Logging_2462/klagomål/A 69545-2021 FSC-klagomål.docx", "A 69545-2021")</f>
        <v/>
      </c>
      <c r="W1228">
        <f>HYPERLINK("https://klasma.github.io/Logging_2462/klagomålsmail/A 69545-2021 FSC-klagomål mail.docx", "A 69545-2021")</f>
        <v/>
      </c>
      <c r="X1228">
        <f>HYPERLINK("https://klasma.github.io/Logging_2462/tillsyn/A 69545-2021 tillsynsbegäran.docx", "A 69545-2021")</f>
        <v/>
      </c>
      <c r="Y1228">
        <f>HYPERLINK("https://klasma.github.io/Logging_2462/tillsynsmail/A 69545-2021 tillsynsbegäran mail.docx", "A 69545-2021")</f>
        <v/>
      </c>
    </row>
    <row r="1229" ht="15" customHeight="1">
      <c r="A1229" t="inlineStr">
        <is>
          <t>A 69915-2021</t>
        </is>
      </c>
      <c r="B1229" s="1" t="n">
        <v>44532</v>
      </c>
      <c r="C1229" s="1" t="n">
        <v>45792</v>
      </c>
      <c r="D1229" t="inlineStr">
        <is>
          <t>VÄSTERBOTTENS LÄN</t>
        </is>
      </c>
      <c r="E1229" t="inlineStr">
        <is>
          <t>VILHELMINA</t>
        </is>
      </c>
      <c r="F1229" t="inlineStr">
        <is>
          <t>SCA</t>
        </is>
      </c>
      <c r="G1229" t="n">
        <v>3</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HYPERLINK("https://klasma.github.io/Logging_2462/artfynd/A 69915-2021 artfynd.xlsx", "A 69915-2021")</f>
        <v/>
      </c>
      <c r="T1229">
        <f>HYPERLINK("https://klasma.github.io/Logging_2462/kartor/A 69915-2021 karta.png", "A 69915-2021")</f>
        <v/>
      </c>
      <c r="V1229">
        <f>HYPERLINK("https://klasma.github.io/Logging_2462/klagomål/A 69915-2021 FSC-klagomål.docx", "A 69915-2021")</f>
        <v/>
      </c>
      <c r="W1229">
        <f>HYPERLINK("https://klasma.github.io/Logging_2462/klagomålsmail/A 69915-2021 FSC-klagomål mail.docx", "A 69915-2021")</f>
        <v/>
      </c>
      <c r="X1229">
        <f>HYPERLINK("https://klasma.github.io/Logging_2462/tillsyn/A 69915-2021 tillsynsbegäran.docx", "A 69915-2021")</f>
        <v/>
      </c>
      <c r="Y1229">
        <f>HYPERLINK("https://klasma.github.io/Logging_2462/tillsynsmail/A 69915-2021 tillsynsbegäran mail.docx", "A 69915-2021")</f>
        <v/>
      </c>
      <c r="Z1229">
        <f>HYPERLINK("https://klasma.github.io/Logging_2462/fåglar/A 69915-2021 prioriterade fågelarter.docx", "A 69915-2021")</f>
        <v/>
      </c>
    </row>
    <row r="1230" ht="15" customHeight="1">
      <c r="A1230" t="inlineStr">
        <is>
          <t>A 72131-2021</t>
        </is>
      </c>
      <c r="B1230" s="1" t="n">
        <v>44543</v>
      </c>
      <c r="C1230" s="1" t="n">
        <v>45792</v>
      </c>
      <c r="D1230" t="inlineStr">
        <is>
          <t>VÄSTERBOTTENS LÄN</t>
        </is>
      </c>
      <c r="E1230" t="inlineStr">
        <is>
          <t>LYCKSELE</t>
        </is>
      </c>
      <c r="G1230" t="n">
        <v>19.1</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72131-2021 artfynd.xlsx", "A 72131-2021")</f>
        <v/>
      </c>
      <c r="T1230">
        <f>HYPERLINK("https://klasma.github.io/Logging_2481/kartor/A 72131-2021 karta.png", "A 72131-2021")</f>
        <v/>
      </c>
      <c r="V1230">
        <f>HYPERLINK("https://klasma.github.io/Logging_2481/klagomål/A 72131-2021 FSC-klagomål.docx", "A 72131-2021")</f>
        <v/>
      </c>
      <c r="W1230">
        <f>HYPERLINK("https://klasma.github.io/Logging_2481/klagomålsmail/A 72131-2021 FSC-klagomål mail.docx", "A 72131-2021")</f>
        <v/>
      </c>
      <c r="X1230">
        <f>HYPERLINK("https://klasma.github.io/Logging_2481/tillsyn/A 72131-2021 tillsynsbegäran.docx", "A 72131-2021")</f>
        <v/>
      </c>
      <c r="Y1230">
        <f>HYPERLINK("https://klasma.github.io/Logging_2481/tillsynsmail/A 72131-2021 tillsynsbegäran mail.docx", "A 72131-2021")</f>
        <v/>
      </c>
      <c r="Z1230">
        <f>HYPERLINK("https://klasma.github.io/Logging_2481/fåglar/A 72131-2021 prioriterade fågelarter.docx", "A 72131-2021")</f>
        <v/>
      </c>
    </row>
    <row r="1231" ht="15" customHeight="1">
      <c r="A1231" t="inlineStr">
        <is>
          <t>A 72939-2021</t>
        </is>
      </c>
      <c r="B1231" s="1" t="n">
        <v>44547</v>
      </c>
      <c r="C1231" s="1" t="n">
        <v>45792</v>
      </c>
      <c r="D1231" t="inlineStr">
        <is>
          <t>VÄSTERBOTTENS LÄN</t>
        </is>
      </c>
      <c r="E1231" t="inlineStr">
        <is>
          <t>SKELLEFTEÅ</t>
        </is>
      </c>
      <c r="G1231" t="n">
        <v>14.8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HYPERLINK("https://klasma.github.io/Logging_2482/artfynd/A 72939-2021 artfynd.xlsx", "A 72939-2021")</f>
        <v/>
      </c>
      <c r="T1231">
        <f>HYPERLINK("https://klasma.github.io/Logging_2482/kartor/A 72939-2021 karta.png", "A 72939-2021")</f>
        <v/>
      </c>
      <c r="V1231">
        <f>HYPERLINK("https://klasma.github.io/Logging_2482/klagomål/A 72939-2021 FSC-klagomål.docx", "A 72939-2021")</f>
        <v/>
      </c>
      <c r="W1231">
        <f>HYPERLINK("https://klasma.github.io/Logging_2482/klagomålsmail/A 72939-2021 FSC-klagomål mail.docx", "A 72939-2021")</f>
        <v/>
      </c>
      <c r="X1231">
        <f>HYPERLINK("https://klasma.github.io/Logging_2482/tillsyn/A 72939-2021 tillsynsbegäran.docx", "A 72939-2021")</f>
        <v/>
      </c>
      <c r="Y1231">
        <f>HYPERLINK("https://klasma.github.io/Logging_2482/tillsynsmail/A 72939-2021 tillsynsbegäran mail.docx", "A 72939-2021")</f>
        <v/>
      </c>
    </row>
    <row r="1232" ht="15" customHeight="1">
      <c r="A1232" t="inlineStr">
        <is>
          <t>A 73357-2021</t>
        </is>
      </c>
      <c r="B1232" s="1" t="n">
        <v>44551</v>
      </c>
      <c r="C1232" s="1" t="n">
        <v>45792</v>
      </c>
      <c r="D1232" t="inlineStr">
        <is>
          <t>VÄSTERBOTTENS LÄN</t>
        </is>
      </c>
      <c r="E1232" t="inlineStr">
        <is>
          <t>LYCKSELE</t>
        </is>
      </c>
      <c r="G1232" t="n">
        <v>11.3</v>
      </c>
      <c r="H1232" t="n">
        <v>0</v>
      </c>
      <c r="I1232" t="n">
        <v>0</v>
      </c>
      <c r="J1232" t="n">
        <v>1</v>
      </c>
      <c r="K1232" t="n">
        <v>0</v>
      </c>
      <c r="L1232" t="n">
        <v>0</v>
      </c>
      <c r="M1232" t="n">
        <v>0</v>
      </c>
      <c r="N1232" t="n">
        <v>0</v>
      </c>
      <c r="O1232" t="n">
        <v>1</v>
      </c>
      <c r="P1232" t="n">
        <v>0</v>
      </c>
      <c r="Q1232" t="n">
        <v>1</v>
      </c>
      <c r="R1232" s="2" t="inlineStr">
        <is>
          <t>Garnlav</t>
        </is>
      </c>
      <c r="S1232">
        <f>HYPERLINK("https://klasma.github.io/Logging_2481/artfynd/A 73357-2021 artfynd.xlsx", "A 73357-2021")</f>
        <v/>
      </c>
      <c r="T1232">
        <f>HYPERLINK("https://klasma.github.io/Logging_2481/kartor/A 73357-2021 karta.png", "A 73357-2021")</f>
        <v/>
      </c>
      <c r="V1232">
        <f>HYPERLINK("https://klasma.github.io/Logging_2481/klagomål/A 73357-2021 FSC-klagomål.docx", "A 73357-2021")</f>
        <v/>
      </c>
      <c r="W1232">
        <f>HYPERLINK("https://klasma.github.io/Logging_2481/klagomålsmail/A 73357-2021 FSC-klagomål mail.docx", "A 73357-2021")</f>
        <v/>
      </c>
      <c r="X1232">
        <f>HYPERLINK("https://klasma.github.io/Logging_2481/tillsyn/A 73357-2021 tillsynsbegäran.docx", "A 73357-2021")</f>
        <v/>
      </c>
      <c r="Y1232">
        <f>HYPERLINK("https://klasma.github.io/Logging_2481/tillsynsmail/A 73357-2021 tillsynsbegäran mail.docx", "A 73357-2021")</f>
        <v/>
      </c>
    </row>
    <row r="1233" ht="15" customHeight="1">
      <c r="A1233" t="inlineStr">
        <is>
          <t>A 74395-2021</t>
        </is>
      </c>
      <c r="B1233" s="1" t="n">
        <v>44560</v>
      </c>
      <c r="C1233" s="1" t="n">
        <v>45792</v>
      </c>
      <c r="D1233" t="inlineStr">
        <is>
          <t>VÄSTERBOTTENS LÄN</t>
        </is>
      </c>
      <c r="E1233" t="inlineStr">
        <is>
          <t>VILHELMINA</t>
        </is>
      </c>
      <c r="G1233" t="n">
        <v>37.6</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74395-2021 artfynd.xlsx", "A 74395-2021")</f>
        <v/>
      </c>
      <c r="T1233">
        <f>HYPERLINK("https://klasma.github.io/Logging_2462/kartor/A 74395-2021 karta.png", "A 74395-2021")</f>
        <v/>
      </c>
      <c r="V1233">
        <f>HYPERLINK("https://klasma.github.io/Logging_2462/klagomål/A 74395-2021 FSC-klagomål.docx", "A 74395-2021")</f>
        <v/>
      </c>
      <c r="W1233">
        <f>HYPERLINK("https://klasma.github.io/Logging_2462/klagomålsmail/A 74395-2021 FSC-klagomål mail.docx", "A 74395-2021")</f>
        <v/>
      </c>
      <c r="X1233">
        <f>HYPERLINK("https://klasma.github.io/Logging_2462/tillsyn/A 74395-2021 tillsynsbegäran.docx", "A 74395-2021")</f>
        <v/>
      </c>
      <c r="Y1233">
        <f>HYPERLINK("https://klasma.github.io/Logging_2462/tillsynsmail/A 74395-2021 tillsynsbegäran mail.docx", "A 74395-2021")</f>
        <v/>
      </c>
      <c r="Z1233">
        <f>HYPERLINK("https://klasma.github.io/Logging_2462/fåglar/A 74395-2021 prioriterade fågelarter.docx", "A 74395-2021")</f>
        <v/>
      </c>
    </row>
    <row r="1234" ht="15" customHeight="1">
      <c r="A1234" t="inlineStr">
        <is>
          <t>A 3929-2022</t>
        </is>
      </c>
      <c r="B1234" s="1" t="n">
        <v>44587</v>
      </c>
      <c r="C1234" s="1" t="n">
        <v>45792</v>
      </c>
      <c r="D1234" t="inlineStr">
        <is>
          <t>VÄSTERBOTTENS LÄN</t>
        </is>
      </c>
      <c r="E1234" t="inlineStr">
        <is>
          <t>LYCKSELE</t>
        </is>
      </c>
      <c r="F1234" t="inlineStr">
        <is>
          <t>Sveaskog</t>
        </is>
      </c>
      <c r="G1234" t="n">
        <v>6.7</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3929-2022 artfynd.xlsx", "A 3929-2022")</f>
        <v/>
      </c>
      <c r="T1234">
        <f>HYPERLINK("https://klasma.github.io/Logging_2481/kartor/A 3929-2022 karta.png", "A 3929-2022")</f>
        <v/>
      </c>
      <c r="V1234">
        <f>HYPERLINK("https://klasma.github.io/Logging_2481/klagomål/A 3929-2022 FSC-klagomål.docx", "A 3929-2022")</f>
        <v/>
      </c>
      <c r="W1234">
        <f>HYPERLINK("https://klasma.github.io/Logging_2481/klagomålsmail/A 3929-2022 FSC-klagomål mail.docx", "A 3929-2022")</f>
        <v/>
      </c>
      <c r="X1234">
        <f>HYPERLINK("https://klasma.github.io/Logging_2481/tillsyn/A 3929-2022 tillsynsbegäran.docx", "A 3929-2022")</f>
        <v/>
      </c>
      <c r="Y1234">
        <f>HYPERLINK("https://klasma.github.io/Logging_2481/tillsynsmail/A 3929-2022 tillsynsbegäran mail.docx", "A 3929-2022")</f>
        <v/>
      </c>
    </row>
    <row r="1235" ht="15" customHeight="1">
      <c r="A1235" t="inlineStr">
        <is>
          <t>A 6711-2022</t>
        </is>
      </c>
      <c r="B1235" s="1" t="n">
        <v>44602</v>
      </c>
      <c r="C1235" s="1" t="n">
        <v>45792</v>
      </c>
      <c r="D1235" t="inlineStr">
        <is>
          <t>VÄSTERBOTTENS LÄN</t>
        </is>
      </c>
      <c r="E1235" t="inlineStr">
        <is>
          <t>UMEÅ</t>
        </is>
      </c>
      <c r="G1235" t="n">
        <v>9.6</v>
      </c>
      <c r="H1235" t="n">
        <v>1</v>
      </c>
      <c r="I1235" t="n">
        <v>0</v>
      </c>
      <c r="J1235" t="n">
        <v>1</v>
      </c>
      <c r="K1235" t="n">
        <v>0</v>
      </c>
      <c r="L1235" t="n">
        <v>0</v>
      </c>
      <c r="M1235" t="n">
        <v>0</v>
      </c>
      <c r="N1235" t="n">
        <v>0</v>
      </c>
      <c r="O1235" t="n">
        <v>1</v>
      </c>
      <c r="P1235" t="n">
        <v>0</v>
      </c>
      <c r="Q1235" t="n">
        <v>1</v>
      </c>
      <c r="R1235" s="2" t="inlineStr">
        <is>
          <t>Blå kärrhök</t>
        </is>
      </c>
      <c r="S1235">
        <f>HYPERLINK("https://klasma.github.io/Logging_2480/artfynd/A 6711-2022 artfynd.xlsx", "A 6711-2022")</f>
        <v/>
      </c>
      <c r="T1235">
        <f>HYPERLINK("https://klasma.github.io/Logging_2480/kartor/A 6711-2022 karta.png", "A 6711-2022")</f>
        <v/>
      </c>
      <c r="V1235">
        <f>HYPERLINK("https://klasma.github.io/Logging_2480/klagomål/A 6711-2022 FSC-klagomål.docx", "A 6711-2022")</f>
        <v/>
      </c>
      <c r="W1235">
        <f>HYPERLINK("https://klasma.github.io/Logging_2480/klagomålsmail/A 6711-2022 FSC-klagomål mail.docx", "A 6711-2022")</f>
        <v/>
      </c>
      <c r="X1235">
        <f>HYPERLINK("https://klasma.github.io/Logging_2480/tillsyn/A 6711-2022 tillsynsbegäran.docx", "A 6711-2022")</f>
        <v/>
      </c>
      <c r="Y1235">
        <f>HYPERLINK("https://klasma.github.io/Logging_2480/tillsynsmail/A 6711-2022 tillsynsbegäran mail.docx", "A 6711-2022")</f>
        <v/>
      </c>
      <c r="Z1235">
        <f>HYPERLINK("https://klasma.github.io/Logging_2480/fåglar/A 6711-2022 prioriterade fågelarter.docx", "A 6711-2022")</f>
        <v/>
      </c>
    </row>
    <row r="1236" ht="15" customHeight="1">
      <c r="A1236" t="inlineStr">
        <is>
          <t>A 9073-2022</t>
        </is>
      </c>
      <c r="B1236" s="1" t="n">
        <v>44615</v>
      </c>
      <c r="C1236" s="1" t="n">
        <v>45792</v>
      </c>
      <c r="D1236" t="inlineStr">
        <is>
          <t>VÄSTERBOTTENS LÄN</t>
        </is>
      </c>
      <c r="E1236" t="inlineStr">
        <is>
          <t>LYCKSELE</t>
        </is>
      </c>
      <c r="G1236" t="n">
        <v>3</v>
      </c>
      <c r="H1236" t="n">
        <v>1</v>
      </c>
      <c r="I1236" t="n">
        <v>0</v>
      </c>
      <c r="J1236" t="n">
        <v>1</v>
      </c>
      <c r="K1236" t="n">
        <v>0</v>
      </c>
      <c r="L1236" t="n">
        <v>0</v>
      </c>
      <c r="M1236" t="n">
        <v>0</v>
      </c>
      <c r="N1236" t="n">
        <v>0</v>
      </c>
      <c r="O1236" t="n">
        <v>1</v>
      </c>
      <c r="P1236" t="n">
        <v>0</v>
      </c>
      <c r="Q1236" t="n">
        <v>1</v>
      </c>
      <c r="R1236" s="2" t="inlineStr">
        <is>
          <t>Utter</t>
        </is>
      </c>
      <c r="S1236">
        <f>HYPERLINK("https://klasma.github.io/Logging_2481/artfynd/A 9073-2022 artfynd.xlsx", "A 9073-2022")</f>
        <v/>
      </c>
      <c r="T1236">
        <f>HYPERLINK("https://klasma.github.io/Logging_2481/kartor/A 9073-2022 karta.png", "A 9073-2022")</f>
        <v/>
      </c>
      <c r="V1236">
        <f>HYPERLINK("https://klasma.github.io/Logging_2481/klagomål/A 9073-2022 FSC-klagomål.docx", "A 9073-2022")</f>
        <v/>
      </c>
      <c r="W1236">
        <f>HYPERLINK("https://klasma.github.io/Logging_2481/klagomålsmail/A 9073-2022 FSC-klagomål mail.docx", "A 9073-2022")</f>
        <v/>
      </c>
      <c r="X1236">
        <f>HYPERLINK("https://klasma.github.io/Logging_2481/tillsyn/A 9073-2022 tillsynsbegäran.docx", "A 9073-2022")</f>
        <v/>
      </c>
      <c r="Y1236">
        <f>HYPERLINK("https://klasma.github.io/Logging_2481/tillsynsmail/A 9073-2022 tillsynsbegäran mail.docx", "A 9073-2022")</f>
        <v/>
      </c>
    </row>
    <row r="1237" ht="15" customHeight="1">
      <c r="A1237" t="inlineStr">
        <is>
          <t>A 9341-2022</t>
        </is>
      </c>
      <c r="B1237" s="1" t="n">
        <v>44616</v>
      </c>
      <c r="C1237" s="1" t="n">
        <v>45792</v>
      </c>
      <c r="D1237" t="inlineStr">
        <is>
          <t>VÄSTERBOTTENS LÄN</t>
        </is>
      </c>
      <c r="E1237" t="inlineStr">
        <is>
          <t>LYCKSELE</t>
        </is>
      </c>
      <c r="G1237" t="n">
        <v>6.9</v>
      </c>
      <c r="H1237" t="n">
        <v>0</v>
      </c>
      <c r="I1237" t="n">
        <v>0</v>
      </c>
      <c r="J1237" t="n">
        <v>1</v>
      </c>
      <c r="K1237" t="n">
        <v>0</v>
      </c>
      <c r="L1237" t="n">
        <v>0</v>
      </c>
      <c r="M1237" t="n">
        <v>0</v>
      </c>
      <c r="N1237" t="n">
        <v>0</v>
      </c>
      <c r="O1237" t="n">
        <v>1</v>
      </c>
      <c r="P1237" t="n">
        <v>0</v>
      </c>
      <c r="Q1237" t="n">
        <v>1</v>
      </c>
      <c r="R1237" s="2" t="inlineStr">
        <is>
          <t>Ullticka</t>
        </is>
      </c>
      <c r="S1237">
        <f>HYPERLINK("https://klasma.github.io/Logging_2481/artfynd/A 9341-2022 artfynd.xlsx", "A 9341-2022")</f>
        <v/>
      </c>
      <c r="T1237">
        <f>HYPERLINK("https://klasma.github.io/Logging_2481/kartor/A 9341-2022 karta.png", "A 9341-2022")</f>
        <v/>
      </c>
      <c r="V1237">
        <f>HYPERLINK("https://klasma.github.io/Logging_2481/klagomål/A 9341-2022 FSC-klagomål.docx", "A 9341-2022")</f>
        <v/>
      </c>
      <c r="W1237">
        <f>HYPERLINK("https://klasma.github.io/Logging_2481/klagomålsmail/A 9341-2022 FSC-klagomål mail.docx", "A 9341-2022")</f>
        <v/>
      </c>
      <c r="X1237">
        <f>HYPERLINK("https://klasma.github.io/Logging_2481/tillsyn/A 9341-2022 tillsynsbegäran.docx", "A 9341-2022")</f>
        <v/>
      </c>
      <c r="Y1237">
        <f>HYPERLINK("https://klasma.github.io/Logging_2481/tillsynsmail/A 9341-2022 tillsynsbegäran mail.docx", "A 9341-2022")</f>
        <v/>
      </c>
    </row>
    <row r="1238" ht="15" customHeight="1">
      <c r="A1238" t="inlineStr">
        <is>
          <t>A 11502-2022</t>
        </is>
      </c>
      <c r="B1238" s="1" t="n">
        <v>44631</v>
      </c>
      <c r="C1238" s="1" t="n">
        <v>45792</v>
      </c>
      <c r="D1238" t="inlineStr">
        <is>
          <t>VÄSTERBOTTENS LÄN</t>
        </is>
      </c>
      <c r="E1238" t="inlineStr">
        <is>
          <t>UMEÅ</t>
        </is>
      </c>
      <c r="F1238" t="inlineStr">
        <is>
          <t>Kommuner</t>
        </is>
      </c>
      <c r="G1238" t="n">
        <v>1.8</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HYPERLINK("https://klasma.github.io/Logging_2480/artfynd/A 11502-2022 artfynd.xlsx", "A 11502-2022")</f>
        <v/>
      </c>
      <c r="T1238">
        <f>HYPERLINK("https://klasma.github.io/Logging_2480/kartor/A 11502-2022 karta.png", "A 11502-2022")</f>
        <v/>
      </c>
      <c r="V1238">
        <f>HYPERLINK("https://klasma.github.io/Logging_2480/klagomål/A 11502-2022 FSC-klagomål.docx", "A 11502-2022")</f>
        <v/>
      </c>
      <c r="W1238">
        <f>HYPERLINK("https://klasma.github.io/Logging_2480/klagomålsmail/A 11502-2022 FSC-klagomål mail.docx", "A 11502-2022")</f>
        <v/>
      </c>
      <c r="X1238">
        <f>HYPERLINK("https://klasma.github.io/Logging_2480/tillsyn/A 11502-2022 tillsynsbegäran.docx", "A 11502-2022")</f>
        <v/>
      </c>
      <c r="Y1238">
        <f>HYPERLINK("https://klasma.github.io/Logging_2480/tillsynsmail/A 11502-2022 tillsynsbegäran mail.docx", "A 11502-2022")</f>
        <v/>
      </c>
    </row>
    <row r="1239" ht="15" customHeight="1">
      <c r="A1239" t="inlineStr">
        <is>
          <t>A 12486-2022</t>
        </is>
      </c>
      <c r="B1239" s="1" t="n">
        <v>44638</v>
      </c>
      <c r="C1239" s="1" t="n">
        <v>45792</v>
      </c>
      <c r="D1239" t="inlineStr">
        <is>
          <t>VÄSTERBOTTENS LÄN</t>
        </is>
      </c>
      <c r="E1239" t="inlineStr">
        <is>
          <t>VILHELMINA</t>
        </is>
      </c>
      <c r="G1239" t="n">
        <v>19.3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12486-2022 artfynd.xlsx", "A 12486-2022")</f>
        <v/>
      </c>
      <c r="T1239">
        <f>HYPERLINK("https://klasma.github.io/Logging_2462/kartor/A 12486-2022 karta.png", "A 12486-2022")</f>
        <v/>
      </c>
      <c r="V1239">
        <f>HYPERLINK("https://klasma.github.io/Logging_2462/klagomål/A 12486-2022 FSC-klagomål.docx", "A 12486-2022")</f>
        <v/>
      </c>
      <c r="W1239">
        <f>HYPERLINK("https://klasma.github.io/Logging_2462/klagomålsmail/A 12486-2022 FSC-klagomål mail.docx", "A 12486-2022")</f>
        <v/>
      </c>
      <c r="X1239">
        <f>HYPERLINK("https://klasma.github.io/Logging_2462/tillsyn/A 12486-2022 tillsynsbegäran.docx", "A 12486-2022")</f>
        <v/>
      </c>
      <c r="Y1239">
        <f>HYPERLINK("https://klasma.github.io/Logging_2462/tillsynsmail/A 12486-2022 tillsynsbegäran mail.docx", "A 12486-2022")</f>
        <v/>
      </c>
      <c r="Z1239">
        <f>HYPERLINK("https://klasma.github.io/Logging_2462/fåglar/A 12486-2022 prioriterade fågelarter.docx", "A 12486-2022")</f>
        <v/>
      </c>
    </row>
    <row r="1240" ht="15" customHeight="1">
      <c r="A1240" t="inlineStr">
        <is>
          <t>A 12963-2022</t>
        </is>
      </c>
      <c r="B1240" s="1" t="n">
        <v>44642</v>
      </c>
      <c r="C1240" s="1" t="n">
        <v>45792</v>
      </c>
      <c r="D1240" t="inlineStr">
        <is>
          <t>VÄSTERBOTTENS LÄN</t>
        </is>
      </c>
      <c r="E1240" t="inlineStr">
        <is>
          <t>SKELLEFTEÅ</t>
        </is>
      </c>
      <c r="G1240" t="n">
        <v>4.3</v>
      </c>
      <c r="H1240" t="n">
        <v>1</v>
      </c>
      <c r="I1240" t="n">
        <v>0</v>
      </c>
      <c r="J1240" t="n">
        <v>1</v>
      </c>
      <c r="K1240" t="n">
        <v>0</v>
      </c>
      <c r="L1240" t="n">
        <v>0</v>
      </c>
      <c r="M1240" t="n">
        <v>0</v>
      </c>
      <c r="N1240" t="n">
        <v>0</v>
      </c>
      <c r="O1240" t="n">
        <v>1</v>
      </c>
      <c r="P1240" t="n">
        <v>0</v>
      </c>
      <c r="Q1240" t="n">
        <v>1</v>
      </c>
      <c r="R1240" s="2" t="inlineStr">
        <is>
          <t>Duvhök</t>
        </is>
      </c>
      <c r="S1240">
        <f>HYPERLINK("https://klasma.github.io/Logging_2482/artfynd/A 12963-2022 artfynd.xlsx", "A 12963-2022")</f>
        <v/>
      </c>
      <c r="T1240">
        <f>HYPERLINK("https://klasma.github.io/Logging_2482/kartor/A 12963-2022 karta.png", "A 12963-2022")</f>
        <v/>
      </c>
      <c r="V1240">
        <f>HYPERLINK("https://klasma.github.io/Logging_2482/klagomål/A 12963-2022 FSC-klagomål.docx", "A 12963-2022")</f>
        <v/>
      </c>
      <c r="W1240">
        <f>HYPERLINK("https://klasma.github.io/Logging_2482/klagomålsmail/A 12963-2022 FSC-klagomål mail.docx", "A 12963-2022")</f>
        <v/>
      </c>
      <c r="X1240">
        <f>HYPERLINK("https://klasma.github.io/Logging_2482/tillsyn/A 12963-2022 tillsynsbegäran.docx", "A 12963-2022")</f>
        <v/>
      </c>
      <c r="Y1240">
        <f>HYPERLINK("https://klasma.github.io/Logging_2482/tillsynsmail/A 12963-2022 tillsynsbegäran mail.docx", "A 12963-2022")</f>
        <v/>
      </c>
      <c r="Z1240">
        <f>HYPERLINK("https://klasma.github.io/Logging_2482/fåglar/A 12963-2022 prioriterade fågelarter.docx", "A 12963-2022")</f>
        <v/>
      </c>
    </row>
    <row r="1241" ht="15" customHeight="1">
      <c r="A1241" t="inlineStr">
        <is>
          <t>A 13727-2022</t>
        </is>
      </c>
      <c r="B1241" s="1" t="n">
        <v>44648</v>
      </c>
      <c r="C1241" s="1" t="n">
        <v>45792</v>
      </c>
      <c r="D1241" t="inlineStr">
        <is>
          <t>VÄSTERBOTTENS LÄN</t>
        </is>
      </c>
      <c r="E1241" t="inlineStr">
        <is>
          <t>SORSELE</t>
        </is>
      </c>
      <c r="G1241" t="n">
        <v>45.5</v>
      </c>
      <c r="H1241" t="n">
        <v>0</v>
      </c>
      <c r="I1241" t="n">
        <v>0</v>
      </c>
      <c r="J1241" t="n">
        <v>1</v>
      </c>
      <c r="K1241" t="n">
        <v>0</v>
      </c>
      <c r="L1241" t="n">
        <v>0</v>
      </c>
      <c r="M1241" t="n">
        <v>0</v>
      </c>
      <c r="N1241" t="n">
        <v>0</v>
      </c>
      <c r="O1241" t="n">
        <v>1</v>
      </c>
      <c r="P1241" t="n">
        <v>0</v>
      </c>
      <c r="Q1241" t="n">
        <v>1</v>
      </c>
      <c r="R1241" s="2" t="inlineStr">
        <is>
          <t>Knottrig blåslav</t>
        </is>
      </c>
      <c r="S1241">
        <f>HYPERLINK("https://klasma.github.io/Logging_2422/artfynd/A 13727-2022 artfynd.xlsx", "A 13727-2022")</f>
        <v/>
      </c>
      <c r="T1241">
        <f>HYPERLINK("https://klasma.github.io/Logging_2422/kartor/A 13727-2022 karta.png", "A 13727-2022")</f>
        <v/>
      </c>
      <c r="V1241">
        <f>HYPERLINK("https://klasma.github.io/Logging_2422/klagomål/A 13727-2022 FSC-klagomål.docx", "A 13727-2022")</f>
        <v/>
      </c>
      <c r="W1241">
        <f>HYPERLINK("https://klasma.github.io/Logging_2422/klagomålsmail/A 13727-2022 FSC-klagomål mail.docx", "A 13727-2022")</f>
        <v/>
      </c>
      <c r="X1241">
        <f>HYPERLINK("https://klasma.github.io/Logging_2422/tillsyn/A 13727-2022 tillsynsbegäran.docx", "A 13727-2022")</f>
        <v/>
      </c>
      <c r="Y1241">
        <f>HYPERLINK("https://klasma.github.io/Logging_2422/tillsynsmail/A 13727-2022 tillsynsbegäran mail.docx", "A 13727-2022")</f>
        <v/>
      </c>
    </row>
    <row r="1242" ht="15" customHeight="1">
      <c r="A1242" t="inlineStr">
        <is>
          <t>A 14277-2022</t>
        </is>
      </c>
      <c r="B1242" s="1" t="n">
        <v>44651</v>
      </c>
      <c r="C1242" s="1" t="n">
        <v>45792</v>
      </c>
      <c r="D1242" t="inlineStr">
        <is>
          <t>VÄSTERBOTTENS LÄN</t>
        </is>
      </c>
      <c r="E1242" t="inlineStr">
        <is>
          <t>SKELLEFTEÅ</t>
        </is>
      </c>
      <c r="G1242" t="n">
        <v>7.4</v>
      </c>
      <c r="H1242" t="n">
        <v>1</v>
      </c>
      <c r="I1242" t="n">
        <v>0</v>
      </c>
      <c r="J1242" t="n">
        <v>0</v>
      </c>
      <c r="K1242" t="n">
        <v>0</v>
      </c>
      <c r="L1242" t="n">
        <v>0</v>
      </c>
      <c r="M1242" t="n">
        <v>0</v>
      </c>
      <c r="N1242" t="n">
        <v>0</v>
      </c>
      <c r="O1242" t="n">
        <v>0</v>
      </c>
      <c r="P1242" t="n">
        <v>0</v>
      </c>
      <c r="Q1242" t="n">
        <v>1</v>
      </c>
      <c r="R1242" s="2" t="inlineStr">
        <is>
          <t>Fläcknycklar</t>
        </is>
      </c>
      <c r="S1242">
        <f>HYPERLINK("https://klasma.github.io/Logging_2482/artfynd/A 14277-2022 artfynd.xlsx", "A 14277-2022")</f>
        <v/>
      </c>
      <c r="T1242">
        <f>HYPERLINK("https://klasma.github.io/Logging_2482/kartor/A 14277-2022 karta.png", "A 14277-2022")</f>
        <v/>
      </c>
      <c r="V1242">
        <f>HYPERLINK("https://klasma.github.io/Logging_2482/klagomål/A 14277-2022 FSC-klagomål.docx", "A 14277-2022")</f>
        <v/>
      </c>
      <c r="W1242">
        <f>HYPERLINK("https://klasma.github.io/Logging_2482/klagomålsmail/A 14277-2022 FSC-klagomål mail.docx", "A 14277-2022")</f>
        <v/>
      </c>
      <c r="X1242">
        <f>HYPERLINK("https://klasma.github.io/Logging_2482/tillsyn/A 14277-2022 tillsynsbegäran.docx", "A 14277-2022")</f>
        <v/>
      </c>
      <c r="Y1242">
        <f>HYPERLINK("https://klasma.github.io/Logging_2482/tillsynsmail/A 14277-2022 tillsynsbegäran mail.docx", "A 14277-2022")</f>
        <v/>
      </c>
    </row>
    <row r="1243" ht="15" customHeight="1">
      <c r="A1243" t="inlineStr">
        <is>
          <t>A 16145-2022</t>
        </is>
      </c>
      <c r="B1243" s="1" t="n">
        <v>44665</v>
      </c>
      <c r="C1243" s="1" t="n">
        <v>45792</v>
      </c>
      <c r="D1243" t="inlineStr">
        <is>
          <t>VÄSTERBOTTENS LÄN</t>
        </is>
      </c>
      <c r="E1243" t="inlineStr">
        <is>
          <t>BJURHOLM</t>
        </is>
      </c>
      <c r="F1243" t="inlineStr">
        <is>
          <t>SCA</t>
        </is>
      </c>
      <c r="G1243" t="n">
        <v>5.9</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HYPERLINK("https://klasma.github.io/Logging_2403/artfynd/A 16145-2022 artfynd.xlsx", "A 16145-2022")</f>
        <v/>
      </c>
      <c r="T1243">
        <f>HYPERLINK("https://klasma.github.io/Logging_2403/kartor/A 16145-2022 karta.png", "A 16145-2022")</f>
        <v/>
      </c>
      <c r="V1243">
        <f>HYPERLINK("https://klasma.github.io/Logging_2403/klagomål/A 16145-2022 FSC-klagomål.docx", "A 16145-2022")</f>
        <v/>
      </c>
      <c r="W1243">
        <f>HYPERLINK("https://klasma.github.io/Logging_2403/klagomålsmail/A 16145-2022 FSC-klagomål mail.docx", "A 16145-2022")</f>
        <v/>
      </c>
      <c r="X1243">
        <f>HYPERLINK("https://klasma.github.io/Logging_2403/tillsyn/A 16145-2022 tillsynsbegäran.docx", "A 16145-2022")</f>
        <v/>
      </c>
      <c r="Y1243">
        <f>HYPERLINK("https://klasma.github.io/Logging_2403/tillsynsmail/A 16145-2022 tillsynsbegäran mail.docx", "A 16145-2022")</f>
        <v/>
      </c>
    </row>
    <row r="1244" ht="15" customHeight="1">
      <c r="A1244" t="inlineStr">
        <is>
          <t>A 16839-2022</t>
        </is>
      </c>
      <c r="B1244" s="1" t="n">
        <v>44673</v>
      </c>
      <c r="C1244" s="1" t="n">
        <v>45792</v>
      </c>
      <c r="D1244" t="inlineStr">
        <is>
          <t>VÄSTERBOTTENS LÄN</t>
        </is>
      </c>
      <c r="E1244" t="inlineStr">
        <is>
          <t>UMEÅ</t>
        </is>
      </c>
      <c r="G1244" t="n">
        <v>3</v>
      </c>
      <c r="H1244" t="n">
        <v>1</v>
      </c>
      <c r="I1244" t="n">
        <v>0</v>
      </c>
      <c r="J1244" t="n">
        <v>1</v>
      </c>
      <c r="K1244" t="n">
        <v>0</v>
      </c>
      <c r="L1244" t="n">
        <v>0</v>
      </c>
      <c r="M1244" t="n">
        <v>0</v>
      </c>
      <c r="N1244" t="n">
        <v>0</v>
      </c>
      <c r="O1244" t="n">
        <v>1</v>
      </c>
      <c r="P1244" t="n">
        <v>0</v>
      </c>
      <c r="Q1244" t="n">
        <v>1</v>
      </c>
      <c r="R1244" s="2" t="inlineStr">
        <is>
          <t>Kråka</t>
        </is>
      </c>
      <c r="S1244">
        <f>HYPERLINK("https://klasma.github.io/Logging_2480/artfynd/A 16839-2022 artfynd.xlsx", "A 16839-2022")</f>
        <v/>
      </c>
      <c r="T1244">
        <f>HYPERLINK("https://klasma.github.io/Logging_2480/kartor/A 16839-2022 karta.png", "A 16839-2022")</f>
        <v/>
      </c>
      <c r="V1244">
        <f>HYPERLINK("https://klasma.github.io/Logging_2480/klagomål/A 16839-2022 FSC-klagomål.docx", "A 16839-2022")</f>
        <v/>
      </c>
      <c r="W1244">
        <f>HYPERLINK("https://klasma.github.io/Logging_2480/klagomålsmail/A 16839-2022 FSC-klagomål mail.docx", "A 16839-2022")</f>
        <v/>
      </c>
      <c r="X1244">
        <f>HYPERLINK("https://klasma.github.io/Logging_2480/tillsyn/A 16839-2022 tillsynsbegäran.docx", "A 16839-2022")</f>
        <v/>
      </c>
      <c r="Y1244">
        <f>HYPERLINK("https://klasma.github.io/Logging_2480/tillsynsmail/A 16839-2022 tillsynsbegäran mail.docx", "A 16839-2022")</f>
        <v/>
      </c>
      <c r="Z1244">
        <f>HYPERLINK("https://klasma.github.io/Logging_2480/fåglar/A 16839-2022 prioriterade fågelarter.docx", "A 16839-2022")</f>
        <v/>
      </c>
    </row>
    <row r="1245" ht="15" customHeight="1">
      <c r="A1245" t="inlineStr">
        <is>
          <t>A 17336-2022</t>
        </is>
      </c>
      <c r="B1245" s="1" t="n">
        <v>44678</v>
      </c>
      <c r="C1245" s="1" t="n">
        <v>45792</v>
      </c>
      <c r="D1245" t="inlineStr">
        <is>
          <t>VÄSTERBOTTENS LÄN</t>
        </is>
      </c>
      <c r="E1245" t="inlineStr">
        <is>
          <t>SKELLEFTEÅ</t>
        </is>
      </c>
      <c r="G1245" t="n">
        <v>0.5</v>
      </c>
      <c r="H1245" t="n">
        <v>0</v>
      </c>
      <c r="I1245" t="n">
        <v>0</v>
      </c>
      <c r="J1245" t="n">
        <v>1</v>
      </c>
      <c r="K1245" t="n">
        <v>0</v>
      </c>
      <c r="L1245" t="n">
        <v>0</v>
      </c>
      <c r="M1245" t="n">
        <v>0</v>
      </c>
      <c r="N1245" t="n">
        <v>0</v>
      </c>
      <c r="O1245" t="n">
        <v>1</v>
      </c>
      <c r="P1245" t="n">
        <v>0</v>
      </c>
      <c r="Q1245" t="n">
        <v>1</v>
      </c>
      <c r="R1245" s="2" t="inlineStr">
        <is>
          <t>Doftskinn</t>
        </is>
      </c>
      <c r="S1245">
        <f>HYPERLINK("https://klasma.github.io/Logging_2482/artfynd/A 17336-2022 artfynd.xlsx", "A 17336-2022")</f>
        <v/>
      </c>
      <c r="T1245">
        <f>HYPERLINK("https://klasma.github.io/Logging_2482/kartor/A 17336-2022 karta.png", "A 17336-2022")</f>
        <v/>
      </c>
      <c r="V1245">
        <f>HYPERLINK("https://klasma.github.io/Logging_2482/klagomål/A 17336-2022 FSC-klagomål.docx", "A 17336-2022")</f>
        <v/>
      </c>
      <c r="W1245">
        <f>HYPERLINK("https://klasma.github.io/Logging_2482/klagomålsmail/A 17336-2022 FSC-klagomål mail.docx", "A 17336-2022")</f>
        <v/>
      </c>
      <c r="X1245">
        <f>HYPERLINK("https://klasma.github.io/Logging_2482/tillsyn/A 17336-2022 tillsynsbegäran.docx", "A 17336-2022")</f>
        <v/>
      </c>
      <c r="Y1245">
        <f>HYPERLINK("https://klasma.github.io/Logging_2482/tillsynsmail/A 17336-2022 tillsynsbegäran mail.docx", "A 17336-2022")</f>
        <v/>
      </c>
    </row>
    <row r="1246" ht="15" customHeight="1">
      <c r="A1246" t="inlineStr">
        <is>
          <t>A 20192-2022</t>
        </is>
      </c>
      <c r="B1246" s="1" t="n">
        <v>44698</v>
      </c>
      <c r="C1246" s="1" t="n">
        <v>45792</v>
      </c>
      <c r="D1246" t="inlineStr">
        <is>
          <t>VÄSTERBOTTENS LÄN</t>
        </is>
      </c>
      <c r="E1246" t="inlineStr">
        <is>
          <t>STORUMAN</t>
        </is>
      </c>
      <c r="F1246" t="inlineStr">
        <is>
          <t>Sveaskog</t>
        </is>
      </c>
      <c r="G1246" t="n">
        <v>3.4</v>
      </c>
      <c r="H1246" t="n">
        <v>0</v>
      </c>
      <c r="I1246" t="n">
        <v>1</v>
      </c>
      <c r="J1246" t="n">
        <v>0</v>
      </c>
      <c r="K1246" t="n">
        <v>0</v>
      </c>
      <c r="L1246" t="n">
        <v>0</v>
      </c>
      <c r="M1246" t="n">
        <v>0</v>
      </c>
      <c r="N1246" t="n">
        <v>0</v>
      </c>
      <c r="O1246" t="n">
        <v>0</v>
      </c>
      <c r="P1246" t="n">
        <v>0</v>
      </c>
      <c r="Q1246" t="n">
        <v>1</v>
      </c>
      <c r="R1246" s="2" t="inlineStr">
        <is>
          <t>Stuplav</t>
        </is>
      </c>
      <c r="S1246">
        <f>HYPERLINK("https://klasma.github.io/Logging_2421/artfynd/A 20192-2022 artfynd.xlsx", "A 20192-2022")</f>
        <v/>
      </c>
      <c r="T1246">
        <f>HYPERLINK("https://klasma.github.io/Logging_2421/kartor/A 20192-2022 karta.png", "A 20192-2022")</f>
        <v/>
      </c>
      <c r="V1246">
        <f>HYPERLINK("https://klasma.github.io/Logging_2421/klagomål/A 20192-2022 FSC-klagomål.docx", "A 20192-2022")</f>
        <v/>
      </c>
      <c r="W1246">
        <f>HYPERLINK("https://klasma.github.io/Logging_2421/klagomålsmail/A 20192-2022 FSC-klagomål mail.docx", "A 20192-2022")</f>
        <v/>
      </c>
      <c r="X1246">
        <f>HYPERLINK("https://klasma.github.io/Logging_2421/tillsyn/A 20192-2022 tillsynsbegäran.docx", "A 20192-2022")</f>
        <v/>
      </c>
      <c r="Y1246">
        <f>HYPERLINK("https://klasma.github.io/Logging_2421/tillsynsmail/A 20192-2022 tillsynsbegäran mail.docx", "A 20192-2022")</f>
        <v/>
      </c>
    </row>
    <row r="1247" ht="15" customHeight="1">
      <c r="A1247" t="inlineStr">
        <is>
          <t>A 23035-2022</t>
        </is>
      </c>
      <c r="B1247" s="1" t="n">
        <v>44715</v>
      </c>
      <c r="C1247" s="1" t="n">
        <v>45792</v>
      </c>
      <c r="D1247" t="inlineStr">
        <is>
          <t>VÄSTERBOTTENS LÄN</t>
        </is>
      </c>
      <c r="E1247" t="inlineStr">
        <is>
          <t>UMEÅ</t>
        </is>
      </c>
      <c r="G1247" t="n">
        <v>1.2</v>
      </c>
      <c r="H1247" t="n">
        <v>0</v>
      </c>
      <c r="I1247" t="n">
        <v>0</v>
      </c>
      <c r="J1247" t="n">
        <v>1</v>
      </c>
      <c r="K1247" t="n">
        <v>0</v>
      </c>
      <c r="L1247" t="n">
        <v>0</v>
      </c>
      <c r="M1247" t="n">
        <v>0</v>
      </c>
      <c r="N1247" t="n">
        <v>0</v>
      </c>
      <c r="O1247" t="n">
        <v>1</v>
      </c>
      <c r="P1247" t="n">
        <v>0</v>
      </c>
      <c r="Q1247" t="n">
        <v>1</v>
      </c>
      <c r="R1247" s="2" t="inlineStr">
        <is>
          <t>Granticka</t>
        </is>
      </c>
      <c r="S1247">
        <f>HYPERLINK("https://klasma.github.io/Logging_2480/artfynd/A 23035-2022 artfynd.xlsx", "A 23035-2022")</f>
        <v/>
      </c>
      <c r="T1247">
        <f>HYPERLINK("https://klasma.github.io/Logging_2480/kartor/A 23035-2022 karta.png", "A 23035-2022")</f>
        <v/>
      </c>
      <c r="V1247">
        <f>HYPERLINK("https://klasma.github.io/Logging_2480/klagomål/A 23035-2022 FSC-klagomål.docx", "A 23035-2022")</f>
        <v/>
      </c>
      <c r="W1247">
        <f>HYPERLINK("https://klasma.github.io/Logging_2480/klagomålsmail/A 23035-2022 FSC-klagomål mail.docx", "A 23035-2022")</f>
        <v/>
      </c>
      <c r="X1247">
        <f>HYPERLINK("https://klasma.github.io/Logging_2480/tillsyn/A 23035-2022 tillsynsbegäran.docx", "A 23035-2022")</f>
        <v/>
      </c>
      <c r="Y1247">
        <f>HYPERLINK("https://klasma.github.io/Logging_2480/tillsynsmail/A 23035-2022 tillsynsbegäran mail.docx", "A 23035-2022")</f>
        <v/>
      </c>
    </row>
    <row r="1248" ht="15" customHeight="1">
      <c r="A1248" t="inlineStr">
        <is>
          <t>A 23232-2022</t>
        </is>
      </c>
      <c r="B1248" s="1" t="n">
        <v>44719</v>
      </c>
      <c r="C1248" s="1" t="n">
        <v>45792</v>
      </c>
      <c r="D1248" t="inlineStr">
        <is>
          <t>VÄSTERBOTTENS LÄN</t>
        </is>
      </c>
      <c r="E1248" t="inlineStr">
        <is>
          <t>SORSELE</t>
        </is>
      </c>
      <c r="G1248" t="n">
        <v>11.5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HYPERLINK("https://klasma.github.io/Logging_2422/artfynd/A 23232-2022 artfynd.xlsx", "A 23232-2022")</f>
        <v/>
      </c>
      <c r="T1248">
        <f>HYPERLINK("https://klasma.github.io/Logging_2422/kartor/A 23232-2022 karta.png", "A 23232-2022")</f>
        <v/>
      </c>
      <c r="V1248">
        <f>HYPERLINK("https://klasma.github.io/Logging_2422/klagomål/A 23232-2022 FSC-klagomål.docx", "A 23232-2022")</f>
        <v/>
      </c>
      <c r="W1248">
        <f>HYPERLINK("https://klasma.github.io/Logging_2422/klagomålsmail/A 23232-2022 FSC-klagomål mail.docx", "A 23232-2022")</f>
        <v/>
      </c>
      <c r="X1248">
        <f>HYPERLINK("https://klasma.github.io/Logging_2422/tillsyn/A 23232-2022 tillsynsbegäran.docx", "A 23232-2022")</f>
        <v/>
      </c>
      <c r="Y1248">
        <f>HYPERLINK("https://klasma.github.io/Logging_2422/tillsynsmail/A 23232-2022 tillsynsbegäran mail.docx", "A 23232-2022")</f>
        <v/>
      </c>
      <c r="Z1248">
        <f>HYPERLINK("https://klasma.github.io/Logging_2422/fåglar/A 23232-2022 prioriterade fågelarter.docx", "A 23232-2022")</f>
        <v/>
      </c>
    </row>
    <row r="1249" ht="15" customHeight="1">
      <c r="A1249" t="inlineStr">
        <is>
          <t>A 23308-2022</t>
        </is>
      </c>
      <c r="B1249" s="1" t="n">
        <v>44720</v>
      </c>
      <c r="C1249" s="1" t="n">
        <v>45792</v>
      </c>
      <c r="D1249" t="inlineStr">
        <is>
          <t>VÄSTERBOTTENS LÄN</t>
        </is>
      </c>
      <c r="E1249" t="inlineStr">
        <is>
          <t>LYCKSELE</t>
        </is>
      </c>
      <c r="G1249" t="n">
        <v>2.4</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23308-2022 artfynd.xlsx", "A 23308-2022")</f>
        <v/>
      </c>
      <c r="T1249">
        <f>HYPERLINK("https://klasma.github.io/Logging_2481/kartor/A 23308-2022 karta.png", "A 23308-2022")</f>
        <v/>
      </c>
      <c r="V1249">
        <f>HYPERLINK("https://klasma.github.io/Logging_2481/klagomål/A 23308-2022 FSC-klagomål.docx", "A 23308-2022")</f>
        <v/>
      </c>
      <c r="W1249">
        <f>HYPERLINK("https://klasma.github.io/Logging_2481/klagomålsmail/A 23308-2022 FSC-klagomål mail.docx", "A 23308-2022")</f>
        <v/>
      </c>
      <c r="X1249">
        <f>HYPERLINK("https://klasma.github.io/Logging_2481/tillsyn/A 23308-2022 tillsynsbegäran.docx", "A 23308-2022")</f>
        <v/>
      </c>
      <c r="Y1249">
        <f>HYPERLINK("https://klasma.github.io/Logging_2481/tillsynsmail/A 23308-2022 tillsynsbegäran mail.docx", "A 23308-2022")</f>
        <v/>
      </c>
    </row>
    <row r="1250" ht="15" customHeight="1">
      <c r="A1250" t="inlineStr">
        <is>
          <t>A 23496-2022</t>
        </is>
      </c>
      <c r="B1250" s="1" t="n">
        <v>44721</v>
      </c>
      <c r="C1250" s="1" t="n">
        <v>45792</v>
      </c>
      <c r="D1250" t="inlineStr">
        <is>
          <t>VÄSTERBOTTENS LÄN</t>
        </is>
      </c>
      <c r="E1250" t="inlineStr">
        <is>
          <t>NORDMALING</t>
        </is>
      </c>
      <c r="G1250" t="n">
        <v>0.7</v>
      </c>
      <c r="H1250" t="n">
        <v>1</v>
      </c>
      <c r="I1250" t="n">
        <v>0</v>
      </c>
      <c r="J1250" t="n">
        <v>1</v>
      </c>
      <c r="K1250" t="n">
        <v>0</v>
      </c>
      <c r="L1250" t="n">
        <v>0</v>
      </c>
      <c r="M1250" t="n">
        <v>0</v>
      </c>
      <c r="N1250" t="n">
        <v>0</v>
      </c>
      <c r="O1250" t="n">
        <v>1</v>
      </c>
      <c r="P1250" t="n">
        <v>0</v>
      </c>
      <c r="Q1250" t="n">
        <v>1</v>
      </c>
      <c r="R1250" s="2" t="inlineStr">
        <is>
          <t>Järpe</t>
        </is>
      </c>
      <c r="S1250">
        <f>HYPERLINK("https://klasma.github.io/Logging_2401/artfynd/A 23496-2022 artfynd.xlsx", "A 23496-2022")</f>
        <v/>
      </c>
      <c r="T1250">
        <f>HYPERLINK("https://klasma.github.io/Logging_2401/kartor/A 23496-2022 karta.png", "A 23496-2022")</f>
        <v/>
      </c>
      <c r="V1250">
        <f>HYPERLINK("https://klasma.github.io/Logging_2401/klagomål/A 23496-2022 FSC-klagomål.docx", "A 23496-2022")</f>
        <v/>
      </c>
      <c r="W1250">
        <f>HYPERLINK("https://klasma.github.io/Logging_2401/klagomålsmail/A 23496-2022 FSC-klagomål mail.docx", "A 23496-2022")</f>
        <v/>
      </c>
      <c r="X1250">
        <f>HYPERLINK("https://klasma.github.io/Logging_2401/tillsyn/A 23496-2022 tillsynsbegäran.docx", "A 23496-2022")</f>
        <v/>
      </c>
      <c r="Y1250">
        <f>HYPERLINK("https://klasma.github.io/Logging_2401/tillsynsmail/A 23496-2022 tillsynsbegäran mail.docx", "A 23496-2022")</f>
        <v/>
      </c>
      <c r="Z1250">
        <f>HYPERLINK("https://klasma.github.io/Logging_2401/fåglar/A 23496-2022 prioriterade fågelarter.docx", "A 23496-2022")</f>
        <v/>
      </c>
    </row>
    <row r="1251" ht="15" customHeight="1">
      <c r="A1251" t="inlineStr">
        <is>
          <t>A 24807-2022</t>
        </is>
      </c>
      <c r="B1251" s="1" t="n">
        <v>44727</v>
      </c>
      <c r="C1251" s="1" t="n">
        <v>45792</v>
      </c>
      <c r="D1251" t="inlineStr">
        <is>
          <t>VÄSTERBOTTENS LÄN</t>
        </is>
      </c>
      <c r="E1251" t="inlineStr">
        <is>
          <t>ROBERTSFORS</t>
        </is>
      </c>
      <c r="G1251" t="n">
        <v>4.1</v>
      </c>
      <c r="H1251" t="n">
        <v>0</v>
      </c>
      <c r="I1251" t="n">
        <v>0</v>
      </c>
      <c r="J1251" t="n">
        <v>1</v>
      </c>
      <c r="K1251" t="n">
        <v>0</v>
      </c>
      <c r="L1251" t="n">
        <v>0</v>
      </c>
      <c r="M1251" t="n">
        <v>0</v>
      </c>
      <c r="N1251" t="n">
        <v>0</v>
      </c>
      <c r="O1251" t="n">
        <v>1</v>
      </c>
      <c r="P1251" t="n">
        <v>0</v>
      </c>
      <c r="Q1251" t="n">
        <v>1</v>
      </c>
      <c r="R1251" s="2" t="inlineStr">
        <is>
          <t>Granticka</t>
        </is>
      </c>
      <c r="S1251">
        <f>HYPERLINK("https://klasma.github.io/Logging_2409/artfynd/A 24807-2022 artfynd.xlsx", "A 24807-2022")</f>
        <v/>
      </c>
      <c r="T1251">
        <f>HYPERLINK("https://klasma.github.io/Logging_2409/kartor/A 24807-2022 karta.png", "A 24807-2022")</f>
        <v/>
      </c>
      <c r="V1251">
        <f>HYPERLINK("https://klasma.github.io/Logging_2409/klagomål/A 24807-2022 FSC-klagomål.docx", "A 24807-2022")</f>
        <v/>
      </c>
      <c r="W1251">
        <f>HYPERLINK("https://klasma.github.io/Logging_2409/klagomålsmail/A 24807-2022 FSC-klagomål mail.docx", "A 24807-2022")</f>
        <v/>
      </c>
      <c r="X1251">
        <f>HYPERLINK("https://klasma.github.io/Logging_2409/tillsyn/A 24807-2022 tillsynsbegäran.docx", "A 24807-2022")</f>
        <v/>
      </c>
      <c r="Y1251">
        <f>HYPERLINK("https://klasma.github.io/Logging_2409/tillsynsmail/A 24807-2022 tillsynsbegäran mail.docx", "A 24807-2022")</f>
        <v/>
      </c>
    </row>
    <row r="1252" ht="15" customHeight="1">
      <c r="A1252" t="inlineStr">
        <is>
          <t>A 24885-2022</t>
        </is>
      </c>
      <c r="B1252" s="1" t="n">
        <v>44728</v>
      </c>
      <c r="C1252" s="1" t="n">
        <v>45792</v>
      </c>
      <c r="D1252" t="inlineStr">
        <is>
          <t>VÄSTERBOTTENS LÄN</t>
        </is>
      </c>
      <c r="E1252" t="inlineStr">
        <is>
          <t>SKELLEFTEÅ</t>
        </is>
      </c>
      <c r="F1252" t="inlineStr">
        <is>
          <t>Holmen skog AB</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24885-2022 artfynd.xlsx", "A 24885-2022")</f>
        <v/>
      </c>
      <c r="T1252">
        <f>HYPERLINK("https://klasma.github.io/Logging_2482/kartor/A 24885-2022 karta.png", "A 24885-2022")</f>
        <v/>
      </c>
      <c r="V1252">
        <f>HYPERLINK("https://klasma.github.io/Logging_2482/klagomål/A 24885-2022 FSC-klagomål.docx", "A 24885-2022")</f>
        <v/>
      </c>
      <c r="W1252">
        <f>HYPERLINK("https://klasma.github.io/Logging_2482/klagomålsmail/A 24885-2022 FSC-klagomål mail.docx", "A 24885-2022")</f>
        <v/>
      </c>
      <c r="X1252">
        <f>HYPERLINK("https://klasma.github.io/Logging_2482/tillsyn/A 24885-2022 tillsynsbegäran.docx", "A 24885-2022")</f>
        <v/>
      </c>
      <c r="Y1252">
        <f>HYPERLINK("https://klasma.github.io/Logging_2482/tillsynsmail/A 24885-2022 tillsynsbegäran mail.docx", "A 24885-2022")</f>
        <v/>
      </c>
    </row>
    <row r="1253" ht="15" customHeight="1">
      <c r="A1253" t="inlineStr">
        <is>
          <t>A 25702-2022</t>
        </is>
      </c>
      <c r="B1253" s="1" t="n">
        <v>44733</v>
      </c>
      <c r="C1253" s="1" t="n">
        <v>45792</v>
      </c>
      <c r="D1253" t="inlineStr">
        <is>
          <t>VÄSTERBOTTENS LÄN</t>
        </is>
      </c>
      <c r="E1253" t="inlineStr">
        <is>
          <t>UMEÅ</t>
        </is>
      </c>
      <c r="F1253" t="inlineStr">
        <is>
          <t>Holmen skog AB</t>
        </is>
      </c>
      <c r="G1253" t="n">
        <v>8.5</v>
      </c>
      <c r="H1253" t="n">
        <v>1</v>
      </c>
      <c r="I1253" t="n">
        <v>0</v>
      </c>
      <c r="J1253" t="n">
        <v>1</v>
      </c>
      <c r="K1253" t="n">
        <v>0</v>
      </c>
      <c r="L1253" t="n">
        <v>0</v>
      </c>
      <c r="M1253" t="n">
        <v>0</v>
      </c>
      <c r="N1253" t="n">
        <v>0</v>
      </c>
      <c r="O1253" t="n">
        <v>1</v>
      </c>
      <c r="P1253" t="n">
        <v>0</v>
      </c>
      <c r="Q1253" t="n">
        <v>1</v>
      </c>
      <c r="R1253" s="2" t="inlineStr">
        <is>
          <t>Järpe</t>
        </is>
      </c>
      <c r="S1253">
        <f>HYPERLINK("https://klasma.github.io/Logging_2480/artfynd/A 25702-2022 artfynd.xlsx", "A 25702-2022")</f>
        <v/>
      </c>
      <c r="T1253">
        <f>HYPERLINK("https://klasma.github.io/Logging_2480/kartor/A 25702-2022 karta.png", "A 25702-2022")</f>
        <v/>
      </c>
      <c r="V1253">
        <f>HYPERLINK("https://klasma.github.io/Logging_2480/klagomål/A 25702-2022 FSC-klagomål.docx", "A 25702-2022")</f>
        <v/>
      </c>
      <c r="W1253">
        <f>HYPERLINK("https://klasma.github.io/Logging_2480/klagomålsmail/A 25702-2022 FSC-klagomål mail.docx", "A 25702-2022")</f>
        <v/>
      </c>
      <c r="X1253">
        <f>HYPERLINK("https://klasma.github.io/Logging_2480/tillsyn/A 25702-2022 tillsynsbegäran.docx", "A 25702-2022")</f>
        <v/>
      </c>
      <c r="Y1253">
        <f>HYPERLINK("https://klasma.github.io/Logging_2480/tillsynsmail/A 25702-2022 tillsynsbegäran mail.docx", "A 25702-2022")</f>
        <v/>
      </c>
      <c r="Z1253">
        <f>HYPERLINK("https://klasma.github.io/Logging_2480/fåglar/A 25702-2022 prioriterade fågelarter.docx", "A 25702-2022")</f>
        <v/>
      </c>
    </row>
    <row r="1254" ht="15" customHeight="1">
      <c r="A1254" t="inlineStr">
        <is>
          <t>A 27583-2022</t>
        </is>
      </c>
      <c r="B1254" s="1" t="n">
        <v>44742</v>
      </c>
      <c r="C1254" s="1" t="n">
        <v>45792</v>
      </c>
      <c r="D1254" t="inlineStr">
        <is>
          <t>VÄSTERBOTTENS LÄN</t>
        </is>
      </c>
      <c r="E1254" t="inlineStr">
        <is>
          <t>VINDELN</t>
        </is>
      </c>
      <c r="F1254" t="inlineStr">
        <is>
          <t>SCA</t>
        </is>
      </c>
      <c r="G1254" t="n">
        <v>2.1</v>
      </c>
      <c r="H1254" t="n">
        <v>0</v>
      </c>
      <c r="I1254" t="n">
        <v>0</v>
      </c>
      <c r="J1254" t="n">
        <v>1</v>
      </c>
      <c r="K1254" t="n">
        <v>0</v>
      </c>
      <c r="L1254" t="n">
        <v>0</v>
      </c>
      <c r="M1254" t="n">
        <v>0</v>
      </c>
      <c r="N1254" t="n">
        <v>0</v>
      </c>
      <c r="O1254" t="n">
        <v>1</v>
      </c>
      <c r="P1254" t="n">
        <v>0</v>
      </c>
      <c r="Q1254" t="n">
        <v>1</v>
      </c>
      <c r="R1254" s="2" t="inlineStr">
        <is>
          <t>Ullticka</t>
        </is>
      </c>
      <c r="S1254">
        <f>HYPERLINK("https://klasma.github.io/Logging_2404/artfynd/A 27583-2022 artfynd.xlsx", "A 27583-2022")</f>
        <v/>
      </c>
      <c r="T1254">
        <f>HYPERLINK("https://klasma.github.io/Logging_2404/kartor/A 27583-2022 karta.png", "A 27583-2022")</f>
        <v/>
      </c>
      <c r="V1254">
        <f>HYPERLINK("https://klasma.github.io/Logging_2404/klagomål/A 27583-2022 FSC-klagomål.docx", "A 27583-2022")</f>
        <v/>
      </c>
      <c r="W1254">
        <f>HYPERLINK("https://klasma.github.io/Logging_2404/klagomålsmail/A 27583-2022 FSC-klagomål mail.docx", "A 27583-2022")</f>
        <v/>
      </c>
      <c r="X1254">
        <f>HYPERLINK("https://klasma.github.io/Logging_2404/tillsyn/A 27583-2022 tillsynsbegäran.docx", "A 27583-2022")</f>
        <v/>
      </c>
      <c r="Y1254">
        <f>HYPERLINK("https://klasma.github.io/Logging_2404/tillsynsmail/A 27583-2022 tillsynsbegäran mail.docx", "A 27583-2022")</f>
        <v/>
      </c>
    </row>
    <row r="1255" ht="15" customHeight="1">
      <c r="A1255" t="inlineStr">
        <is>
          <t>A 30809-2022</t>
        </is>
      </c>
      <c r="B1255" s="1" t="n">
        <v>44764</v>
      </c>
      <c r="C1255" s="1" t="n">
        <v>45792</v>
      </c>
      <c r="D1255" t="inlineStr">
        <is>
          <t>VÄSTERBOTTENS LÄN</t>
        </is>
      </c>
      <c r="E1255" t="inlineStr">
        <is>
          <t>ÅSELE</t>
        </is>
      </c>
      <c r="F1255" t="inlineStr">
        <is>
          <t>SCA</t>
        </is>
      </c>
      <c r="G1255" t="n">
        <v>10.6</v>
      </c>
      <c r="H1255" t="n">
        <v>1</v>
      </c>
      <c r="I1255" t="n">
        <v>0</v>
      </c>
      <c r="J1255" t="n">
        <v>1</v>
      </c>
      <c r="K1255" t="n">
        <v>0</v>
      </c>
      <c r="L1255" t="n">
        <v>0</v>
      </c>
      <c r="M1255" t="n">
        <v>0</v>
      </c>
      <c r="N1255" t="n">
        <v>0</v>
      </c>
      <c r="O1255" t="n">
        <v>1</v>
      </c>
      <c r="P1255" t="n">
        <v>0</v>
      </c>
      <c r="Q1255" t="n">
        <v>1</v>
      </c>
      <c r="R1255" s="2" t="inlineStr">
        <is>
          <t>Buskskvätta</t>
        </is>
      </c>
      <c r="S1255">
        <f>HYPERLINK("https://klasma.github.io/Logging_2463/artfynd/A 30809-2022 artfynd.xlsx", "A 30809-2022")</f>
        <v/>
      </c>
      <c r="T1255">
        <f>HYPERLINK("https://klasma.github.io/Logging_2463/kartor/A 30809-2022 karta.png", "A 30809-2022")</f>
        <v/>
      </c>
      <c r="V1255">
        <f>HYPERLINK("https://klasma.github.io/Logging_2463/klagomål/A 30809-2022 FSC-klagomål.docx", "A 30809-2022")</f>
        <v/>
      </c>
      <c r="W1255">
        <f>HYPERLINK("https://klasma.github.io/Logging_2463/klagomålsmail/A 30809-2022 FSC-klagomål mail.docx", "A 30809-2022")</f>
        <v/>
      </c>
      <c r="X1255">
        <f>HYPERLINK("https://klasma.github.io/Logging_2463/tillsyn/A 30809-2022 tillsynsbegäran.docx", "A 30809-2022")</f>
        <v/>
      </c>
      <c r="Y1255">
        <f>HYPERLINK("https://klasma.github.io/Logging_2463/tillsynsmail/A 30809-2022 tillsynsbegäran mail.docx", "A 30809-2022")</f>
        <v/>
      </c>
      <c r="Z1255">
        <f>HYPERLINK("https://klasma.github.io/Logging_2463/fåglar/A 30809-2022 prioriterade fågelarter.docx", "A 30809-2022")</f>
        <v/>
      </c>
    </row>
    <row r="1256" ht="15" customHeight="1">
      <c r="A1256" t="inlineStr">
        <is>
          <t>A 31318-2022</t>
        </is>
      </c>
      <c r="B1256" s="1" t="n">
        <v>44772</v>
      </c>
      <c r="C1256" s="1" t="n">
        <v>45792</v>
      </c>
      <c r="D1256" t="inlineStr">
        <is>
          <t>VÄSTERBOTTENS LÄN</t>
        </is>
      </c>
      <c r="E1256" t="inlineStr">
        <is>
          <t>UMEÅ</t>
        </is>
      </c>
      <c r="G1256" t="n">
        <v>11.3</v>
      </c>
      <c r="H1256" t="n">
        <v>1</v>
      </c>
      <c r="I1256" t="n">
        <v>0</v>
      </c>
      <c r="J1256" t="n">
        <v>1</v>
      </c>
      <c r="K1256" t="n">
        <v>0</v>
      </c>
      <c r="L1256" t="n">
        <v>0</v>
      </c>
      <c r="M1256" t="n">
        <v>0</v>
      </c>
      <c r="N1256" t="n">
        <v>0</v>
      </c>
      <c r="O1256" t="n">
        <v>1</v>
      </c>
      <c r="P1256" t="n">
        <v>0</v>
      </c>
      <c r="Q1256" t="n">
        <v>1</v>
      </c>
      <c r="R1256" s="2" t="inlineStr">
        <is>
          <t>Sävsparv</t>
        </is>
      </c>
      <c r="S1256">
        <f>HYPERLINK("https://klasma.github.io/Logging_2480/artfynd/A 31318-2022 artfynd.xlsx", "A 31318-2022")</f>
        <v/>
      </c>
      <c r="T1256">
        <f>HYPERLINK("https://klasma.github.io/Logging_2480/kartor/A 31318-2022 karta.png", "A 31318-2022")</f>
        <v/>
      </c>
      <c r="V1256">
        <f>HYPERLINK("https://klasma.github.io/Logging_2480/klagomål/A 31318-2022 FSC-klagomål.docx", "A 31318-2022")</f>
        <v/>
      </c>
      <c r="W1256">
        <f>HYPERLINK("https://klasma.github.io/Logging_2480/klagomålsmail/A 31318-2022 FSC-klagomål mail.docx", "A 31318-2022")</f>
        <v/>
      </c>
      <c r="X1256">
        <f>HYPERLINK("https://klasma.github.io/Logging_2480/tillsyn/A 31318-2022 tillsynsbegäran.docx", "A 31318-2022")</f>
        <v/>
      </c>
      <c r="Y1256">
        <f>HYPERLINK("https://klasma.github.io/Logging_2480/tillsynsmail/A 31318-2022 tillsynsbegäran mail.docx", "A 31318-2022")</f>
        <v/>
      </c>
      <c r="Z1256">
        <f>HYPERLINK("https://klasma.github.io/Logging_2480/fåglar/A 31318-2022 prioriterade fågelarter.docx", "A 31318-2022")</f>
        <v/>
      </c>
    </row>
    <row r="1257" ht="15" customHeight="1">
      <c r="A1257" t="inlineStr">
        <is>
          <t>A 32638-2022</t>
        </is>
      </c>
      <c r="B1257" s="1" t="n">
        <v>44783</v>
      </c>
      <c r="C1257" s="1" t="n">
        <v>45792</v>
      </c>
      <c r="D1257" t="inlineStr">
        <is>
          <t>VÄSTERBOTTENS LÄN</t>
        </is>
      </c>
      <c r="E1257" t="inlineStr">
        <is>
          <t>LYCKSELE</t>
        </is>
      </c>
      <c r="F1257" t="inlineStr">
        <is>
          <t>Holmen skog AB</t>
        </is>
      </c>
      <c r="G1257" t="n">
        <v>4.2</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32638-2022 artfynd.xlsx", "A 32638-2022")</f>
        <v/>
      </c>
      <c r="T1257">
        <f>HYPERLINK("https://klasma.github.io/Logging_2481/kartor/A 32638-2022 karta.png", "A 32638-2022")</f>
        <v/>
      </c>
      <c r="V1257">
        <f>HYPERLINK("https://klasma.github.io/Logging_2481/klagomål/A 32638-2022 FSC-klagomål.docx", "A 32638-2022")</f>
        <v/>
      </c>
      <c r="W1257">
        <f>HYPERLINK("https://klasma.github.io/Logging_2481/klagomålsmail/A 32638-2022 FSC-klagomål mail.docx", "A 32638-2022")</f>
        <v/>
      </c>
      <c r="X1257">
        <f>HYPERLINK("https://klasma.github.io/Logging_2481/tillsyn/A 32638-2022 tillsynsbegäran.docx", "A 32638-2022")</f>
        <v/>
      </c>
      <c r="Y1257">
        <f>HYPERLINK("https://klasma.github.io/Logging_2481/tillsynsmail/A 32638-2022 tillsynsbegäran mail.docx", "A 32638-2022")</f>
        <v/>
      </c>
    </row>
    <row r="1258" ht="15" customHeight="1">
      <c r="A1258" t="inlineStr">
        <is>
          <t>A 34810-2022</t>
        </is>
      </c>
      <c r="B1258" s="1" t="n">
        <v>44795</v>
      </c>
      <c r="C1258" s="1" t="n">
        <v>45792</v>
      </c>
      <c r="D1258" t="inlineStr">
        <is>
          <t>VÄSTERBOTTENS LÄN</t>
        </is>
      </c>
      <c r="E1258" t="inlineStr">
        <is>
          <t>LYCKSELE</t>
        </is>
      </c>
      <c r="F1258" t="inlineStr">
        <is>
          <t>SCA</t>
        </is>
      </c>
      <c r="G1258" t="n">
        <v>2.3</v>
      </c>
      <c r="H1258" t="n">
        <v>0</v>
      </c>
      <c r="I1258" t="n">
        <v>0</v>
      </c>
      <c r="J1258" t="n">
        <v>1</v>
      </c>
      <c r="K1258" t="n">
        <v>0</v>
      </c>
      <c r="L1258" t="n">
        <v>0</v>
      </c>
      <c r="M1258" t="n">
        <v>0</v>
      </c>
      <c r="N1258" t="n">
        <v>0</v>
      </c>
      <c r="O1258" t="n">
        <v>1</v>
      </c>
      <c r="P1258" t="n">
        <v>0</v>
      </c>
      <c r="Q1258" t="n">
        <v>1</v>
      </c>
      <c r="R1258" s="2" t="inlineStr">
        <is>
          <t>Lunglav</t>
        </is>
      </c>
      <c r="S1258">
        <f>HYPERLINK("https://klasma.github.io/Logging_2481/artfynd/A 34810-2022 artfynd.xlsx", "A 34810-2022")</f>
        <v/>
      </c>
      <c r="T1258">
        <f>HYPERLINK("https://klasma.github.io/Logging_2481/kartor/A 34810-2022 karta.png", "A 34810-2022")</f>
        <v/>
      </c>
      <c r="V1258">
        <f>HYPERLINK("https://klasma.github.io/Logging_2481/klagomål/A 34810-2022 FSC-klagomål.docx", "A 34810-2022")</f>
        <v/>
      </c>
      <c r="W1258">
        <f>HYPERLINK("https://klasma.github.io/Logging_2481/klagomålsmail/A 34810-2022 FSC-klagomål mail.docx", "A 34810-2022")</f>
        <v/>
      </c>
      <c r="X1258">
        <f>HYPERLINK("https://klasma.github.io/Logging_2481/tillsyn/A 34810-2022 tillsynsbegäran.docx", "A 34810-2022")</f>
        <v/>
      </c>
      <c r="Y1258">
        <f>HYPERLINK("https://klasma.github.io/Logging_2481/tillsynsmail/A 34810-2022 tillsynsbegäran mail.docx", "A 34810-2022")</f>
        <v/>
      </c>
    </row>
    <row r="1259" ht="15" customHeight="1">
      <c r="A1259" t="inlineStr">
        <is>
          <t>A 34809-2022</t>
        </is>
      </c>
      <c r="B1259" s="1" t="n">
        <v>44795</v>
      </c>
      <c r="C1259" s="1" t="n">
        <v>45792</v>
      </c>
      <c r="D1259" t="inlineStr">
        <is>
          <t>VÄSTERBOTTENS LÄN</t>
        </is>
      </c>
      <c r="E1259" t="inlineStr">
        <is>
          <t>LYCKSELE</t>
        </is>
      </c>
      <c r="F1259" t="inlineStr">
        <is>
          <t>SCA</t>
        </is>
      </c>
      <c r="G1259" t="n">
        <v>1</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HYPERLINK("https://klasma.github.io/Logging_2481/artfynd/A 34809-2022 artfynd.xlsx", "A 34809-2022")</f>
        <v/>
      </c>
      <c r="T1259">
        <f>HYPERLINK("https://klasma.github.io/Logging_2481/kartor/A 34809-2022 karta.png", "A 34809-2022")</f>
        <v/>
      </c>
      <c r="V1259">
        <f>HYPERLINK("https://klasma.github.io/Logging_2481/klagomål/A 34809-2022 FSC-klagomål.docx", "A 34809-2022")</f>
        <v/>
      </c>
      <c r="W1259">
        <f>HYPERLINK("https://klasma.github.io/Logging_2481/klagomålsmail/A 34809-2022 FSC-klagomål mail.docx", "A 34809-2022")</f>
        <v/>
      </c>
      <c r="X1259">
        <f>HYPERLINK("https://klasma.github.io/Logging_2481/tillsyn/A 34809-2022 tillsynsbegäran.docx", "A 34809-2022")</f>
        <v/>
      </c>
      <c r="Y1259">
        <f>HYPERLINK("https://klasma.github.io/Logging_2481/tillsynsmail/A 34809-2022 tillsynsbegäran mail.docx", "A 34809-2022")</f>
        <v/>
      </c>
    </row>
    <row r="1260" ht="15" customHeight="1">
      <c r="A1260" t="inlineStr">
        <is>
          <t>A 36531-2022</t>
        </is>
      </c>
      <c r="B1260" s="1" t="n">
        <v>44804</v>
      </c>
      <c r="C1260" s="1" t="n">
        <v>45792</v>
      </c>
      <c r="D1260" t="inlineStr">
        <is>
          <t>VÄSTERBOTTENS LÄN</t>
        </is>
      </c>
      <c r="E1260" t="inlineStr">
        <is>
          <t>SKELLEFTEÅ</t>
        </is>
      </c>
      <c r="F1260" t="inlineStr">
        <is>
          <t>Kommuner</t>
        </is>
      </c>
      <c r="G1260" t="n">
        <v>3.1</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HYPERLINK("https://klasma.github.io/Logging_2482/artfynd/A 36531-2022 artfynd.xlsx", "A 36531-2022")</f>
        <v/>
      </c>
      <c r="T1260">
        <f>HYPERLINK("https://klasma.github.io/Logging_2482/kartor/A 36531-2022 karta.png", "A 36531-2022")</f>
        <v/>
      </c>
      <c r="V1260">
        <f>HYPERLINK("https://klasma.github.io/Logging_2482/klagomål/A 36531-2022 FSC-klagomål.docx", "A 36531-2022")</f>
        <v/>
      </c>
      <c r="W1260">
        <f>HYPERLINK("https://klasma.github.io/Logging_2482/klagomålsmail/A 36531-2022 FSC-klagomål mail.docx", "A 36531-2022")</f>
        <v/>
      </c>
      <c r="X1260">
        <f>HYPERLINK("https://klasma.github.io/Logging_2482/tillsyn/A 36531-2022 tillsynsbegäran.docx", "A 36531-2022")</f>
        <v/>
      </c>
      <c r="Y1260">
        <f>HYPERLINK("https://klasma.github.io/Logging_2482/tillsynsmail/A 36531-2022 tillsynsbegäran mail.docx", "A 36531-2022")</f>
        <v/>
      </c>
    </row>
    <row r="1261" ht="15" customHeight="1">
      <c r="A1261" t="inlineStr">
        <is>
          <t>A 38421-2022</t>
        </is>
      </c>
      <c r="B1261" s="1" t="n">
        <v>44812</v>
      </c>
      <c r="C1261" s="1" t="n">
        <v>45792</v>
      </c>
      <c r="D1261" t="inlineStr">
        <is>
          <t>VÄSTERBOTTENS LÄN</t>
        </is>
      </c>
      <c r="E1261" t="inlineStr">
        <is>
          <t>VILHELMINA</t>
        </is>
      </c>
      <c r="F1261" t="inlineStr">
        <is>
          <t>SCA</t>
        </is>
      </c>
      <c r="G1261" t="n">
        <v>3.2</v>
      </c>
      <c r="H1261" t="n">
        <v>0</v>
      </c>
      <c r="I1261" t="n">
        <v>0</v>
      </c>
      <c r="J1261" t="n">
        <v>1</v>
      </c>
      <c r="K1261" t="n">
        <v>0</v>
      </c>
      <c r="L1261" t="n">
        <v>0</v>
      </c>
      <c r="M1261" t="n">
        <v>0</v>
      </c>
      <c r="N1261" t="n">
        <v>0</v>
      </c>
      <c r="O1261" t="n">
        <v>1</v>
      </c>
      <c r="P1261" t="n">
        <v>0</v>
      </c>
      <c r="Q1261" t="n">
        <v>1</v>
      </c>
      <c r="R1261" s="2" t="inlineStr">
        <is>
          <t>Ullticka</t>
        </is>
      </c>
      <c r="S1261">
        <f>HYPERLINK("https://klasma.github.io/Logging_2462/artfynd/A 38421-2022 artfynd.xlsx", "A 38421-2022")</f>
        <v/>
      </c>
      <c r="T1261">
        <f>HYPERLINK("https://klasma.github.io/Logging_2462/kartor/A 38421-2022 karta.png", "A 38421-2022")</f>
        <v/>
      </c>
      <c r="V1261">
        <f>HYPERLINK("https://klasma.github.io/Logging_2462/klagomål/A 38421-2022 FSC-klagomål.docx", "A 38421-2022")</f>
        <v/>
      </c>
      <c r="W1261">
        <f>HYPERLINK("https://klasma.github.io/Logging_2462/klagomålsmail/A 38421-2022 FSC-klagomål mail.docx", "A 38421-2022")</f>
        <v/>
      </c>
      <c r="X1261">
        <f>HYPERLINK("https://klasma.github.io/Logging_2462/tillsyn/A 38421-2022 tillsynsbegäran.docx", "A 38421-2022")</f>
        <v/>
      </c>
      <c r="Y1261">
        <f>HYPERLINK("https://klasma.github.io/Logging_2462/tillsynsmail/A 38421-2022 tillsynsbegäran mail.docx", "A 38421-2022")</f>
        <v/>
      </c>
    </row>
    <row r="1262" ht="15" customHeight="1">
      <c r="A1262" t="inlineStr">
        <is>
          <t>A 39380-2022</t>
        </is>
      </c>
      <c r="B1262" s="1" t="n">
        <v>44817</v>
      </c>
      <c r="C1262" s="1" t="n">
        <v>45792</v>
      </c>
      <c r="D1262" t="inlineStr">
        <is>
          <t>VÄSTERBOTTENS LÄN</t>
        </is>
      </c>
      <c r="E1262" t="inlineStr">
        <is>
          <t>ÅSELE</t>
        </is>
      </c>
      <c r="F1262" t="inlineStr">
        <is>
          <t>SCA</t>
        </is>
      </c>
      <c r="G1262" t="n">
        <v>2.4</v>
      </c>
      <c r="H1262" t="n">
        <v>1</v>
      </c>
      <c r="I1262" t="n">
        <v>1</v>
      </c>
      <c r="J1262" t="n">
        <v>0</v>
      </c>
      <c r="K1262" t="n">
        <v>0</v>
      </c>
      <c r="L1262" t="n">
        <v>0</v>
      </c>
      <c r="M1262" t="n">
        <v>0</v>
      </c>
      <c r="N1262" t="n">
        <v>0</v>
      </c>
      <c r="O1262" t="n">
        <v>0</v>
      </c>
      <c r="P1262" t="n">
        <v>0</v>
      </c>
      <c r="Q1262" t="n">
        <v>1</v>
      </c>
      <c r="R1262" s="2" t="inlineStr">
        <is>
          <t>Lappranunkel</t>
        </is>
      </c>
      <c r="S1262">
        <f>HYPERLINK("https://klasma.github.io/Logging_2463/artfynd/A 39380-2022 artfynd.xlsx", "A 39380-2022")</f>
        <v/>
      </c>
      <c r="T1262">
        <f>HYPERLINK("https://klasma.github.io/Logging_2463/kartor/A 39380-2022 karta.png", "A 39380-2022")</f>
        <v/>
      </c>
      <c r="V1262">
        <f>HYPERLINK("https://klasma.github.io/Logging_2463/klagomål/A 39380-2022 FSC-klagomål.docx", "A 39380-2022")</f>
        <v/>
      </c>
      <c r="W1262">
        <f>HYPERLINK("https://klasma.github.io/Logging_2463/klagomålsmail/A 39380-2022 FSC-klagomål mail.docx", "A 39380-2022")</f>
        <v/>
      </c>
      <c r="X1262">
        <f>HYPERLINK("https://klasma.github.io/Logging_2463/tillsyn/A 39380-2022 tillsynsbegäran.docx", "A 39380-2022")</f>
        <v/>
      </c>
      <c r="Y1262">
        <f>HYPERLINK("https://klasma.github.io/Logging_2463/tillsynsmail/A 39380-2022 tillsynsbegäran mail.docx", "A 39380-2022")</f>
        <v/>
      </c>
    </row>
    <row r="1263" ht="15" customHeight="1">
      <c r="A1263" t="inlineStr">
        <is>
          <t>A 40133-2022</t>
        </is>
      </c>
      <c r="B1263" s="1" t="n">
        <v>44820</v>
      </c>
      <c r="C1263" s="1" t="n">
        <v>45792</v>
      </c>
      <c r="D1263" t="inlineStr">
        <is>
          <t>VÄSTERBOTTENS LÄN</t>
        </is>
      </c>
      <c r="E1263" t="inlineStr">
        <is>
          <t>LYCKSELE</t>
        </is>
      </c>
      <c r="F1263" t="inlineStr">
        <is>
          <t>Sveaskog</t>
        </is>
      </c>
      <c r="G1263" t="n">
        <v>15.3</v>
      </c>
      <c r="H1263" t="n">
        <v>0</v>
      </c>
      <c r="I1263" t="n">
        <v>0</v>
      </c>
      <c r="J1263" t="n">
        <v>0</v>
      </c>
      <c r="K1263" t="n">
        <v>1</v>
      </c>
      <c r="L1263" t="n">
        <v>0</v>
      </c>
      <c r="M1263" t="n">
        <v>0</v>
      </c>
      <c r="N1263" t="n">
        <v>0</v>
      </c>
      <c r="O1263" t="n">
        <v>1</v>
      </c>
      <c r="P1263" t="n">
        <v>1</v>
      </c>
      <c r="Q1263" t="n">
        <v>1</v>
      </c>
      <c r="R1263" s="2" t="inlineStr">
        <is>
          <t>Gräddporing</t>
        </is>
      </c>
      <c r="S1263">
        <f>HYPERLINK("https://klasma.github.io/Logging_2481/artfynd/A 40133-2022 artfynd.xlsx", "A 40133-2022")</f>
        <v/>
      </c>
      <c r="T1263">
        <f>HYPERLINK("https://klasma.github.io/Logging_2481/kartor/A 40133-2022 karta.png", "A 40133-2022")</f>
        <v/>
      </c>
      <c r="V1263">
        <f>HYPERLINK("https://klasma.github.io/Logging_2481/klagomål/A 40133-2022 FSC-klagomål.docx", "A 40133-2022")</f>
        <v/>
      </c>
      <c r="W1263">
        <f>HYPERLINK("https://klasma.github.io/Logging_2481/klagomålsmail/A 40133-2022 FSC-klagomål mail.docx", "A 40133-2022")</f>
        <v/>
      </c>
      <c r="X1263">
        <f>HYPERLINK("https://klasma.github.io/Logging_2481/tillsyn/A 40133-2022 tillsynsbegäran.docx", "A 40133-2022")</f>
        <v/>
      </c>
      <c r="Y1263">
        <f>HYPERLINK("https://klasma.github.io/Logging_2481/tillsynsmail/A 40133-2022 tillsynsbegäran mail.docx", "A 40133-2022")</f>
        <v/>
      </c>
    </row>
    <row r="1264" ht="15" customHeight="1">
      <c r="A1264" t="inlineStr">
        <is>
          <t>A 40328-2022</t>
        </is>
      </c>
      <c r="B1264" s="1" t="n">
        <v>44823</v>
      </c>
      <c r="C1264" s="1" t="n">
        <v>45792</v>
      </c>
      <c r="D1264" t="inlineStr">
        <is>
          <t>VÄSTERBOTTENS LÄN</t>
        </is>
      </c>
      <c r="E1264" t="inlineStr">
        <is>
          <t>ÅSELE</t>
        </is>
      </c>
      <c r="G1264" t="n">
        <v>5</v>
      </c>
      <c r="H1264" t="n">
        <v>1</v>
      </c>
      <c r="I1264" t="n">
        <v>0</v>
      </c>
      <c r="J1264" t="n">
        <v>1</v>
      </c>
      <c r="K1264" t="n">
        <v>0</v>
      </c>
      <c r="L1264" t="n">
        <v>0</v>
      </c>
      <c r="M1264" t="n">
        <v>0</v>
      </c>
      <c r="N1264" t="n">
        <v>0</v>
      </c>
      <c r="O1264" t="n">
        <v>1</v>
      </c>
      <c r="P1264" t="n">
        <v>0</v>
      </c>
      <c r="Q1264" t="n">
        <v>1</v>
      </c>
      <c r="R1264" s="2" t="inlineStr">
        <is>
          <t>Utter</t>
        </is>
      </c>
      <c r="S1264">
        <f>HYPERLINK("https://klasma.github.io/Logging_2463/artfynd/A 40328-2022 artfynd.xlsx", "A 40328-2022")</f>
        <v/>
      </c>
      <c r="T1264">
        <f>HYPERLINK("https://klasma.github.io/Logging_2463/kartor/A 40328-2022 karta.png", "A 40328-2022")</f>
        <v/>
      </c>
      <c r="V1264">
        <f>HYPERLINK("https://klasma.github.io/Logging_2463/klagomål/A 40328-2022 FSC-klagomål.docx", "A 40328-2022")</f>
        <v/>
      </c>
      <c r="W1264">
        <f>HYPERLINK("https://klasma.github.io/Logging_2463/klagomålsmail/A 40328-2022 FSC-klagomål mail.docx", "A 40328-2022")</f>
        <v/>
      </c>
      <c r="X1264">
        <f>HYPERLINK("https://klasma.github.io/Logging_2463/tillsyn/A 40328-2022 tillsynsbegäran.docx", "A 40328-2022")</f>
        <v/>
      </c>
      <c r="Y1264">
        <f>HYPERLINK("https://klasma.github.io/Logging_2463/tillsynsmail/A 40328-2022 tillsynsbegäran mail.docx", "A 40328-2022")</f>
        <v/>
      </c>
    </row>
    <row r="1265" ht="15" customHeight="1">
      <c r="A1265" t="inlineStr">
        <is>
          <t>A 41483-2022</t>
        </is>
      </c>
      <c r="B1265" s="1" t="n">
        <v>44827</v>
      </c>
      <c r="C1265" s="1" t="n">
        <v>45792</v>
      </c>
      <c r="D1265" t="inlineStr">
        <is>
          <t>VÄSTERBOTTENS LÄN</t>
        </is>
      </c>
      <c r="E1265" t="inlineStr">
        <is>
          <t>VILHELMINA</t>
        </is>
      </c>
      <c r="F1265" t="inlineStr">
        <is>
          <t>SCA</t>
        </is>
      </c>
      <c r="G1265" t="n">
        <v>4.6</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HYPERLINK("https://klasma.github.io/Logging_2462/artfynd/A 41483-2022 artfynd.xlsx", "A 41483-2022")</f>
        <v/>
      </c>
      <c r="T1265">
        <f>HYPERLINK("https://klasma.github.io/Logging_2462/kartor/A 41483-2022 karta.png", "A 41483-2022")</f>
        <v/>
      </c>
      <c r="V1265">
        <f>HYPERLINK("https://klasma.github.io/Logging_2462/klagomål/A 41483-2022 FSC-klagomål.docx", "A 41483-2022")</f>
        <v/>
      </c>
      <c r="W1265">
        <f>HYPERLINK("https://klasma.github.io/Logging_2462/klagomålsmail/A 41483-2022 FSC-klagomål mail.docx", "A 41483-2022")</f>
        <v/>
      </c>
      <c r="X1265">
        <f>HYPERLINK("https://klasma.github.io/Logging_2462/tillsyn/A 41483-2022 tillsynsbegäran.docx", "A 41483-2022")</f>
        <v/>
      </c>
      <c r="Y1265">
        <f>HYPERLINK("https://klasma.github.io/Logging_2462/tillsynsmail/A 41483-2022 tillsynsbegäran mail.docx", "A 41483-2022")</f>
        <v/>
      </c>
      <c r="Z1265">
        <f>HYPERLINK("https://klasma.github.io/Logging_2462/fåglar/A 41483-2022 prioriterade fågelarter.docx", "A 41483-2022")</f>
        <v/>
      </c>
    </row>
    <row r="1266" ht="15" customHeight="1">
      <c r="A1266" t="inlineStr">
        <is>
          <t>A 42674-2022</t>
        </is>
      </c>
      <c r="B1266" s="1" t="n">
        <v>44831</v>
      </c>
      <c r="C1266" s="1" t="n">
        <v>45792</v>
      </c>
      <c r="D1266" t="inlineStr">
        <is>
          <t>VÄSTERBOTTENS LÄN</t>
        </is>
      </c>
      <c r="E1266" t="inlineStr">
        <is>
          <t>SKELLEFTEÅ</t>
        </is>
      </c>
      <c r="G1266" t="n">
        <v>4.4</v>
      </c>
      <c r="H1266" t="n">
        <v>0</v>
      </c>
      <c r="I1266" t="n">
        <v>0</v>
      </c>
      <c r="J1266" t="n">
        <v>1</v>
      </c>
      <c r="K1266" t="n">
        <v>0</v>
      </c>
      <c r="L1266" t="n">
        <v>0</v>
      </c>
      <c r="M1266" t="n">
        <v>0</v>
      </c>
      <c r="N1266" t="n">
        <v>0</v>
      </c>
      <c r="O1266" t="n">
        <v>1</v>
      </c>
      <c r="P1266" t="n">
        <v>0</v>
      </c>
      <c r="Q1266" t="n">
        <v>1</v>
      </c>
      <c r="R1266" s="2" t="inlineStr">
        <is>
          <t>Granticka</t>
        </is>
      </c>
      <c r="S1266">
        <f>HYPERLINK("https://klasma.github.io/Logging_2482/artfynd/A 42674-2022 artfynd.xlsx", "A 42674-2022")</f>
        <v/>
      </c>
      <c r="T1266">
        <f>HYPERLINK("https://klasma.github.io/Logging_2482/kartor/A 42674-2022 karta.png", "A 42674-2022")</f>
        <v/>
      </c>
      <c r="V1266">
        <f>HYPERLINK("https://klasma.github.io/Logging_2482/klagomål/A 42674-2022 FSC-klagomål.docx", "A 42674-2022")</f>
        <v/>
      </c>
      <c r="W1266">
        <f>HYPERLINK("https://klasma.github.io/Logging_2482/klagomålsmail/A 42674-2022 FSC-klagomål mail.docx", "A 42674-2022")</f>
        <v/>
      </c>
      <c r="X1266">
        <f>HYPERLINK("https://klasma.github.io/Logging_2482/tillsyn/A 42674-2022 tillsynsbegäran.docx", "A 42674-2022")</f>
        <v/>
      </c>
      <c r="Y1266">
        <f>HYPERLINK("https://klasma.github.io/Logging_2482/tillsynsmail/A 42674-2022 tillsynsbegäran mail.docx", "A 42674-2022")</f>
        <v/>
      </c>
    </row>
    <row r="1267" ht="15" customHeight="1">
      <c r="A1267" t="inlineStr">
        <is>
          <t>A 43418-2022</t>
        </is>
      </c>
      <c r="B1267" s="1" t="n">
        <v>44834</v>
      </c>
      <c r="C1267" s="1" t="n">
        <v>45792</v>
      </c>
      <c r="D1267" t="inlineStr">
        <is>
          <t>VÄSTERBOTTENS LÄN</t>
        </is>
      </c>
      <c r="E1267" t="inlineStr">
        <is>
          <t>LYCKSELE</t>
        </is>
      </c>
      <c r="F1267" t="inlineStr">
        <is>
          <t>SCA</t>
        </is>
      </c>
      <c r="G1267" t="n">
        <v>8.4</v>
      </c>
      <c r="H1267" t="n">
        <v>0</v>
      </c>
      <c r="I1267" t="n">
        <v>1</v>
      </c>
      <c r="J1267" t="n">
        <v>0</v>
      </c>
      <c r="K1267" t="n">
        <v>0</v>
      </c>
      <c r="L1267" t="n">
        <v>0</v>
      </c>
      <c r="M1267" t="n">
        <v>0</v>
      </c>
      <c r="N1267" t="n">
        <v>0</v>
      </c>
      <c r="O1267" t="n">
        <v>0</v>
      </c>
      <c r="P1267" t="n">
        <v>0</v>
      </c>
      <c r="Q1267" t="n">
        <v>1</v>
      </c>
      <c r="R1267" s="2" t="inlineStr">
        <is>
          <t>Skarp dropptaggsvamp</t>
        </is>
      </c>
      <c r="S1267">
        <f>HYPERLINK("https://klasma.github.io/Logging_2481/artfynd/A 43418-2022 artfynd.xlsx", "A 43418-2022")</f>
        <v/>
      </c>
      <c r="T1267">
        <f>HYPERLINK("https://klasma.github.io/Logging_2481/kartor/A 43418-2022 karta.png", "A 43418-2022")</f>
        <v/>
      </c>
      <c r="V1267">
        <f>HYPERLINK("https://klasma.github.io/Logging_2481/klagomål/A 43418-2022 FSC-klagomål.docx", "A 43418-2022")</f>
        <v/>
      </c>
      <c r="W1267">
        <f>HYPERLINK("https://klasma.github.io/Logging_2481/klagomålsmail/A 43418-2022 FSC-klagomål mail.docx", "A 43418-2022")</f>
        <v/>
      </c>
      <c r="X1267">
        <f>HYPERLINK("https://klasma.github.io/Logging_2481/tillsyn/A 43418-2022 tillsynsbegäran.docx", "A 43418-2022")</f>
        <v/>
      </c>
      <c r="Y1267">
        <f>HYPERLINK("https://klasma.github.io/Logging_2481/tillsynsmail/A 43418-2022 tillsynsbegäran mail.docx", "A 43418-2022")</f>
        <v/>
      </c>
    </row>
    <row r="1268" ht="15" customHeight="1">
      <c r="A1268" t="inlineStr">
        <is>
          <t>A 43519-2022</t>
        </is>
      </c>
      <c r="B1268" s="1" t="n">
        <v>44837</v>
      </c>
      <c r="C1268" s="1" t="n">
        <v>45792</v>
      </c>
      <c r="D1268" t="inlineStr">
        <is>
          <t>VÄSTERBOTTENS LÄN</t>
        </is>
      </c>
      <c r="E1268" t="inlineStr">
        <is>
          <t>UMEÅ</t>
        </is>
      </c>
      <c r="G1268" t="n">
        <v>4.2</v>
      </c>
      <c r="H1268" t="n">
        <v>0</v>
      </c>
      <c r="I1268" t="n">
        <v>0</v>
      </c>
      <c r="J1268" t="n">
        <v>1</v>
      </c>
      <c r="K1268" t="n">
        <v>0</v>
      </c>
      <c r="L1268" t="n">
        <v>0</v>
      </c>
      <c r="M1268" t="n">
        <v>0</v>
      </c>
      <c r="N1268" t="n">
        <v>0</v>
      </c>
      <c r="O1268" t="n">
        <v>1</v>
      </c>
      <c r="P1268" t="n">
        <v>0</v>
      </c>
      <c r="Q1268" t="n">
        <v>1</v>
      </c>
      <c r="R1268" s="2" t="inlineStr">
        <is>
          <t>Skogshare</t>
        </is>
      </c>
      <c r="S1268">
        <f>HYPERLINK("https://klasma.github.io/Logging_2480/artfynd/A 43519-2022 artfynd.xlsx", "A 43519-2022")</f>
        <v/>
      </c>
      <c r="T1268">
        <f>HYPERLINK("https://klasma.github.io/Logging_2480/kartor/A 43519-2022 karta.png", "A 43519-2022")</f>
        <v/>
      </c>
      <c r="V1268">
        <f>HYPERLINK("https://klasma.github.io/Logging_2480/klagomål/A 43519-2022 FSC-klagomål.docx", "A 43519-2022")</f>
        <v/>
      </c>
      <c r="W1268">
        <f>HYPERLINK("https://klasma.github.io/Logging_2480/klagomålsmail/A 43519-2022 FSC-klagomål mail.docx", "A 43519-2022")</f>
        <v/>
      </c>
      <c r="X1268">
        <f>HYPERLINK("https://klasma.github.io/Logging_2480/tillsyn/A 43519-2022 tillsynsbegäran.docx", "A 43519-2022")</f>
        <v/>
      </c>
      <c r="Y1268">
        <f>HYPERLINK("https://klasma.github.io/Logging_2480/tillsynsmail/A 43519-2022 tillsynsbegäran mail.docx", "A 43519-2022")</f>
        <v/>
      </c>
    </row>
    <row r="1269" ht="15" customHeight="1">
      <c r="A1269" t="inlineStr">
        <is>
          <t>A 43969-2022</t>
        </is>
      </c>
      <c r="B1269" s="1" t="n">
        <v>44837</v>
      </c>
      <c r="C1269" s="1" t="n">
        <v>45792</v>
      </c>
      <c r="D1269" t="inlineStr">
        <is>
          <t>VÄSTERBOTTENS LÄN</t>
        </is>
      </c>
      <c r="E1269" t="inlineStr">
        <is>
          <t>BJURHOLM</t>
        </is>
      </c>
      <c r="G1269" t="n">
        <v>2.3</v>
      </c>
      <c r="H1269" t="n">
        <v>1</v>
      </c>
      <c r="I1269" t="n">
        <v>1</v>
      </c>
      <c r="J1269" t="n">
        <v>0</v>
      </c>
      <c r="K1269" t="n">
        <v>0</v>
      </c>
      <c r="L1269" t="n">
        <v>0</v>
      </c>
      <c r="M1269" t="n">
        <v>0</v>
      </c>
      <c r="N1269" t="n">
        <v>0</v>
      </c>
      <c r="O1269" t="n">
        <v>0</v>
      </c>
      <c r="P1269" t="n">
        <v>0</v>
      </c>
      <c r="Q1269" t="n">
        <v>1</v>
      </c>
      <c r="R1269" s="2" t="inlineStr">
        <is>
          <t>Lappranunkel</t>
        </is>
      </c>
      <c r="S1269">
        <f>HYPERLINK("https://klasma.github.io/Logging_2403/artfynd/A 43969-2022 artfynd.xlsx", "A 43969-2022")</f>
        <v/>
      </c>
      <c r="T1269">
        <f>HYPERLINK("https://klasma.github.io/Logging_2403/kartor/A 43969-2022 karta.png", "A 43969-2022")</f>
        <v/>
      </c>
      <c r="V1269">
        <f>HYPERLINK("https://klasma.github.io/Logging_2403/klagomål/A 43969-2022 FSC-klagomål.docx", "A 43969-2022")</f>
        <v/>
      </c>
      <c r="W1269">
        <f>HYPERLINK("https://klasma.github.io/Logging_2403/klagomålsmail/A 43969-2022 FSC-klagomål mail.docx", "A 43969-2022")</f>
        <v/>
      </c>
      <c r="X1269">
        <f>HYPERLINK("https://klasma.github.io/Logging_2403/tillsyn/A 43969-2022 tillsynsbegäran.docx", "A 43969-2022")</f>
        <v/>
      </c>
      <c r="Y1269">
        <f>HYPERLINK("https://klasma.github.io/Logging_2403/tillsynsmail/A 43969-2022 tillsynsbegäran mail.docx", "A 43969-2022")</f>
        <v/>
      </c>
    </row>
    <row r="1270" ht="15" customHeight="1">
      <c r="A1270" t="inlineStr">
        <is>
          <t>A 44036-2022</t>
        </is>
      </c>
      <c r="B1270" s="1" t="n">
        <v>44838</v>
      </c>
      <c r="C1270" s="1" t="n">
        <v>45792</v>
      </c>
      <c r="D1270" t="inlineStr">
        <is>
          <t>VÄSTERBOTTENS LÄN</t>
        </is>
      </c>
      <c r="E1270" t="inlineStr">
        <is>
          <t>DOROTEA</t>
        </is>
      </c>
      <c r="F1270" t="inlineStr">
        <is>
          <t>SCA</t>
        </is>
      </c>
      <c r="G1270" t="n">
        <v>6.3</v>
      </c>
      <c r="H1270" t="n">
        <v>0</v>
      </c>
      <c r="I1270" t="n">
        <v>0</v>
      </c>
      <c r="J1270" t="n">
        <v>1</v>
      </c>
      <c r="K1270" t="n">
        <v>0</v>
      </c>
      <c r="L1270" t="n">
        <v>0</v>
      </c>
      <c r="M1270" t="n">
        <v>0</v>
      </c>
      <c r="N1270" t="n">
        <v>0</v>
      </c>
      <c r="O1270" t="n">
        <v>1</v>
      </c>
      <c r="P1270" t="n">
        <v>0</v>
      </c>
      <c r="Q1270" t="n">
        <v>1</v>
      </c>
      <c r="R1270" s="2" t="inlineStr">
        <is>
          <t>Ullticka</t>
        </is>
      </c>
      <c r="S1270">
        <f>HYPERLINK("https://klasma.github.io/Logging_2425/artfynd/A 44036-2022 artfynd.xlsx", "A 44036-2022")</f>
        <v/>
      </c>
      <c r="T1270">
        <f>HYPERLINK("https://klasma.github.io/Logging_2425/kartor/A 44036-2022 karta.png", "A 44036-2022")</f>
        <v/>
      </c>
      <c r="V1270">
        <f>HYPERLINK("https://klasma.github.io/Logging_2425/klagomål/A 44036-2022 FSC-klagomål.docx", "A 44036-2022")</f>
        <v/>
      </c>
      <c r="W1270">
        <f>HYPERLINK("https://klasma.github.io/Logging_2425/klagomålsmail/A 44036-2022 FSC-klagomål mail.docx", "A 44036-2022")</f>
        <v/>
      </c>
      <c r="X1270">
        <f>HYPERLINK("https://klasma.github.io/Logging_2425/tillsyn/A 44036-2022 tillsynsbegäran.docx", "A 44036-2022")</f>
        <v/>
      </c>
      <c r="Y1270">
        <f>HYPERLINK("https://klasma.github.io/Logging_2425/tillsynsmail/A 44036-2022 tillsynsbegäran mail.docx", "A 44036-2022")</f>
        <v/>
      </c>
    </row>
    <row r="1271" ht="15" customHeight="1">
      <c r="A1271" t="inlineStr">
        <is>
          <t>A 44389-2022</t>
        </is>
      </c>
      <c r="B1271" s="1" t="n">
        <v>44838</v>
      </c>
      <c r="C1271" s="1" t="n">
        <v>45792</v>
      </c>
      <c r="D1271" t="inlineStr">
        <is>
          <t>VÄSTERBOTTENS LÄN</t>
        </is>
      </c>
      <c r="E1271" t="inlineStr">
        <is>
          <t>DOROTEA</t>
        </is>
      </c>
      <c r="G1271" t="n">
        <v>1.8</v>
      </c>
      <c r="H1271" t="n">
        <v>0</v>
      </c>
      <c r="I1271" t="n">
        <v>0</v>
      </c>
      <c r="J1271" t="n">
        <v>1</v>
      </c>
      <c r="K1271" t="n">
        <v>0</v>
      </c>
      <c r="L1271" t="n">
        <v>0</v>
      </c>
      <c r="M1271" t="n">
        <v>0</v>
      </c>
      <c r="N1271" t="n">
        <v>0</v>
      </c>
      <c r="O1271" t="n">
        <v>1</v>
      </c>
      <c r="P1271" t="n">
        <v>0</v>
      </c>
      <c r="Q1271" t="n">
        <v>1</v>
      </c>
      <c r="R1271" s="2" t="inlineStr">
        <is>
          <t>Granticka</t>
        </is>
      </c>
      <c r="S1271">
        <f>HYPERLINK("https://klasma.github.io/Logging_2425/artfynd/A 44389-2022 artfynd.xlsx", "A 44389-2022")</f>
        <v/>
      </c>
      <c r="T1271">
        <f>HYPERLINK("https://klasma.github.io/Logging_2425/kartor/A 44389-2022 karta.png", "A 44389-2022")</f>
        <v/>
      </c>
      <c r="V1271">
        <f>HYPERLINK("https://klasma.github.io/Logging_2425/klagomål/A 44389-2022 FSC-klagomål.docx", "A 44389-2022")</f>
        <v/>
      </c>
      <c r="W1271">
        <f>HYPERLINK("https://klasma.github.io/Logging_2425/klagomålsmail/A 44389-2022 FSC-klagomål mail.docx", "A 44389-2022")</f>
        <v/>
      </c>
      <c r="X1271">
        <f>HYPERLINK("https://klasma.github.io/Logging_2425/tillsyn/A 44389-2022 tillsynsbegäran.docx", "A 44389-2022")</f>
        <v/>
      </c>
      <c r="Y1271">
        <f>HYPERLINK("https://klasma.github.io/Logging_2425/tillsynsmail/A 44389-2022 tillsynsbegäran mail.docx", "A 44389-2022")</f>
        <v/>
      </c>
    </row>
    <row r="1272" ht="15" customHeight="1">
      <c r="A1272" t="inlineStr">
        <is>
          <t>A 44990-2022</t>
        </is>
      </c>
      <c r="B1272" s="1" t="n">
        <v>44840</v>
      </c>
      <c r="C1272" s="1" t="n">
        <v>45792</v>
      </c>
      <c r="D1272" t="inlineStr">
        <is>
          <t>VÄSTERBOTTENS LÄN</t>
        </is>
      </c>
      <c r="E1272" t="inlineStr">
        <is>
          <t>ROBERTSFORS</t>
        </is>
      </c>
      <c r="G1272" t="n">
        <v>2.4</v>
      </c>
      <c r="H1272" t="n">
        <v>0</v>
      </c>
      <c r="I1272" t="n">
        <v>0</v>
      </c>
      <c r="J1272" t="n">
        <v>1</v>
      </c>
      <c r="K1272" t="n">
        <v>0</v>
      </c>
      <c r="L1272" t="n">
        <v>0</v>
      </c>
      <c r="M1272" t="n">
        <v>0</v>
      </c>
      <c r="N1272" t="n">
        <v>0</v>
      </c>
      <c r="O1272" t="n">
        <v>1</v>
      </c>
      <c r="P1272" t="n">
        <v>0</v>
      </c>
      <c r="Q1272" t="n">
        <v>1</v>
      </c>
      <c r="R1272" s="2" t="inlineStr">
        <is>
          <t>Ullticka</t>
        </is>
      </c>
      <c r="S1272">
        <f>HYPERLINK("https://klasma.github.io/Logging_2409/artfynd/A 44990-2022 artfynd.xlsx", "A 44990-2022")</f>
        <v/>
      </c>
      <c r="T1272">
        <f>HYPERLINK("https://klasma.github.io/Logging_2409/kartor/A 44990-2022 karta.png", "A 44990-2022")</f>
        <v/>
      </c>
      <c r="V1272">
        <f>HYPERLINK("https://klasma.github.io/Logging_2409/klagomål/A 44990-2022 FSC-klagomål.docx", "A 44990-2022")</f>
        <v/>
      </c>
      <c r="W1272">
        <f>HYPERLINK("https://klasma.github.io/Logging_2409/klagomålsmail/A 44990-2022 FSC-klagomål mail.docx", "A 44990-2022")</f>
        <v/>
      </c>
      <c r="X1272">
        <f>HYPERLINK("https://klasma.github.io/Logging_2409/tillsyn/A 44990-2022 tillsynsbegäran.docx", "A 44990-2022")</f>
        <v/>
      </c>
      <c r="Y1272">
        <f>HYPERLINK("https://klasma.github.io/Logging_2409/tillsynsmail/A 44990-2022 tillsynsbegäran mail.docx", "A 44990-2022")</f>
        <v/>
      </c>
    </row>
    <row r="1273" ht="15" customHeight="1">
      <c r="A1273" t="inlineStr">
        <is>
          <t>A 46317-2022</t>
        </is>
      </c>
      <c r="B1273" s="1" t="n">
        <v>44847</v>
      </c>
      <c r="C1273" s="1" t="n">
        <v>45792</v>
      </c>
      <c r="D1273" t="inlineStr">
        <is>
          <t>VÄSTERBOTTENS LÄN</t>
        </is>
      </c>
      <c r="E1273" t="inlineStr">
        <is>
          <t>MALÅ</t>
        </is>
      </c>
      <c r="G1273" t="n">
        <v>76.40000000000001</v>
      </c>
      <c r="H1273" t="n">
        <v>0</v>
      </c>
      <c r="I1273" t="n">
        <v>0</v>
      </c>
      <c r="J1273" t="n">
        <v>1</v>
      </c>
      <c r="K1273" t="n">
        <v>0</v>
      </c>
      <c r="L1273" t="n">
        <v>0</v>
      </c>
      <c r="M1273" t="n">
        <v>0</v>
      </c>
      <c r="N1273" t="n">
        <v>0</v>
      </c>
      <c r="O1273" t="n">
        <v>1</v>
      </c>
      <c r="P1273" t="n">
        <v>0</v>
      </c>
      <c r="Q1273" t="n">
        <v>1</v>
      </c>
      <c r="R1273" s="2" t="inlineStr">
        <is>
          <t>Rosenticka</t>
        </is>
      </c>
      <c r="S1273">
        <f>HYPERLINK("https://klasma.github.io/Logging_2418/artfynd/A 46317-2022 artfynd.xlsx", "A 46317-2022")</f>
        <v/>
      </c>
      <c r="T1273">
        <f>HYPERLINK("https://klasma.github.io/Logging_2418/kartor/A 46317-2022 karta.png", "A 46317-2022")</f>
        <v/>
      </c>
      <c r="V1273">
        <f>HYPERLINK("https://klasma.github.io/Logging_2418/klagomål/A 46317-2022 FSC-klagomål.docx", "A 46317-2022")</f>
        <v/>
      </c>
      <c r="W1273">
        <f>HYPERLINK("https://klasma.github.io/Logging_2418/klagomålsmail/A 46317-2022 FSC-klagomål mail.docx", "A 46317-2022")</f>
        <v/>
      </c>
      <c r="X1273">
        <f>HYPERLINK("https://klasma.github.io/Logging_2418/tillsyn/A 46317-2022 tillsynsbegäran.docx", "A 46317-2022")</f>
        <v/>
      </c>
      <c r="Y1273">
        <f>HYPERLINK("https://klasma.github.io/Logging_2418/tillsynsmail/A 46317-2022 tillsynsbegäran mail.docx", "A 46317-2022")</f>
        <v/>
      </c>
    </row>
    <row r="1274" ht="15" customHeight="1">
      <c r="A1274" t="inlineStr">
        <is>
          <t>A 46990-2022</t>
        </is>
      </c>
      <c r="B1274" s="1" t="n">
        <v>44851</v>
      </c>
      <c r="C1274" s="1" t="n">
        <v>45792</v>
      </c>
      <c r="D1274" t="inlineStr">
        <is>
          <t>VÄSTERBOTTENS LÄN</t>
        </is>
      </c>
      <c r="E1274" t="inlineStr">
        <is>
          <t>NORDMALING</t>
        </is>
      </c>
      <c r="F1274" t="inlineStr">
        <is>
          <t>SCA</t>
        </is>
      </c>
      <c r="G1274" t="n">
        <v>7.7</v>
      </c>
      <c r="H1274" t="n">
        <v>0</v>
      </c>
      <c r="I1274" t="n">
        <v>0</v>
      </c>
      <c r="J1274" t="n">
        <v>1</v>
      </c>
      <c r="K1274" t="n">
        <v>0</v>
      </c>
      <c r="L1274" t="n">
        <v>0</v>
      </c>
      <c r="M1274" t="n">
        <v>0</v>
      </c>
      <c r="N1274" t="n">
        <v>0</v>
      </c>
      <c r="O1274" t="n">
        <v>1</v>
      </c>
      <c r="P1274" t="n">
        <v>0</v>
      </c>
      <c r="Q1274" t="n">
        <v>1</v>
      </c>
      <c r="R1274" s="2" t="inlineStr">
        <is>
          <t>Lunglav</t>
        </is>
      </c>
      <c r="S1274">
        <f>HYPERLINK("https://klasma.github.io/Logging_2401/artfynd/A 46990-2022 artfynd.xlsx", "A 46990-2022")</f>
        <v/>
      </c>
      <c r="T1274">
        <f>HYPERLINK("https://klasma.github.io/Logging_2401/kartor/A 46990-2022 karta.png", "A 46990-2022")</f>
        <v/>
      </c>
      <c r="V1274">
        <f>HYPERLINK("https://klasma.github.io/Logging_2401/klagomål/A 46990-2022 FSC-klagomål.docx", "A 46990-2022")</f>
        <v/>
      </c>
      <c r="W1274">
        <f>HYPERLINK("https://klasma.github.io/Logging_2401/klagomålsmail/A 46990-2022 FSC-klagomål mail.docx", "A 46990-2022")</f>
        <v/>
      </c>
      <c r="X1274">
        <f>HYPERLINK("https://klasma.github.io/Logging_2401/tillsyn/A 46990-2022 tillsynsbegäran.docx", "A 46990-2022")</f>
        <v/>
      </c>
      <c r="Y1274">
        <f>HYPERLINK("https://klasma.github.io/Logging_2401/tillsynsmail/A 46990-2022 tillsynsbegäran mail.docx", "A 46990-2022")</f>
        <v/>
      </c>
    </row>
    <row r="1275" ht="15" customHeight="1">
      <c r="A1275" t="inlineStr">
        <is>
          <t>A 47251-2022</t>
        </is>
      </c>
      <c r="B1275" s="1" t="n">
        <v>44852</v>
      </c>
      <c r="C1275" s="1" t="n">
        <v>45792</v>
      </c>
      <c r="D1275" t="inlineStr">
        <is>
          <t>VÄSTERBOTTENS LÄN</t>
        </is>
      </c>
      <c r="E1275" t="inlineStr">
        <is>
          <t>VILHELMINA</t>
        </is>
      </c>
      <c r="F1275" t="inlineStr">
        <is>
          <t>SCA</t>
        </is>
      </c>
      <c r="G1275" t="n">
        <v>16.4</v>
      </c>
      <c r="H1275" t="n">
        <v>0</v>
      </c>
      <c r="I1275" t="n">
        <v>0</v>
      </c>
      <c r="J1275" t="n">
        <v>1</v>
      </c>
      <c r="K1275" t="n">
        <v>0</v>
      </c>
      <c r="L1275" t="n">
        <v>0</v>
      </c>
      <c r="M1275" t="n">
        <v>0</v>
      </c>
      <c r="N1275" t="n">
        <v>0</v>
      </c>
      <c r="O1275" t="n">
        <v>1</v>
      </c>
      <c r="P1275" t="n">
        <v>0</v>
      </c>
      <c r="Q1275" t="n">
        <v>1</v>
      </c>
      <c r="R1275" s="2" t="inlineStr">
        <is>
          <t>Rosenticka</t>
        </is>
      </c>
      <c r="S1275">
        <f>HYPERLINK("https://klasma.github.io/Logging_2462/artfynd/A 47251-2022 artfynd.xlsx", "A 47251-2022")</f>
        <v/>
      </c>
      <c r="T1275">
        <f>HYPERLINK("https://klasma.github.io/Logging_2462/kartor/A 47251-2022 karta.png", "A 47251-2022")</f>
        <v/>
      </c>
      <c r="V1275">
        <f>HYPERLINK("https://klasma.github.io/Logging_2462/klagomål/A 47251-2022 FSC-klagomål.docx", "A 47251-2022")</f>
        <v/>
      </c>
      <c r="W1275">
        <f>HYPERLINK("https://klasma.github.io/Logging_2462/klagomålsmail/A 47251-2022 FSC-klagomål mail.docx", "A 47251-2022")</f>
        <v/>
      </c>
      <c r="X1275">
        <f>HYPERLINK("https://klasma.github.io/Logging_2462/tillsyn/A 47251-2022 tillsynsbegäran.docx", "A 47251-2022")</f>
        <v/>
      </c>
      <c r="Y1275">
        <f>HYPERLINK("https://klasma.github.io/Logging_2462/tillsynsmail/A 47251-2022 tillsynsbegäran mail.docx", "A 47251-2022")</f>
        <v/>
      </c>
    </row>
    <row r="1276" ht="15" customHeight="1">
      <c r="A1276" t="inlineStr">
        <is>
          <t>A 47963-2022</t>
        </is>
      </c>
      <c r="B1276" s="1" t="n">
        <v>44855</v>
      </c>
      <c r="C1276" s="1" t="n">
        <v>45792</v>
      </c>
      <c r="D1276" t="inlineStr">
        <is>
          <t>VÄSTERBOTTENS LÄN</t>
        </is>
      </c>
      <c r="E1276" t="inlineStr">
        <is>
          <t>SKELLEFTEÅ</t>
        </is>
      </c>
      <c r="F1276" t="inlineStr">
        <is>
          <t>Holmen skog AB</t>
        </is>
      </c>
      <c r="G1276" t="n">
        <v>18.7</v>
      </c>
      <c r="H1276" t="n">
        <v>0</v>
      </c>
      <c r="I1276" t="n">
        <v>1</v>
      </c>
      <c r="J1276" t="n">
        <v>0</v>
      </c>
      <c r="K1276" t="n">
        <v>0</v>
      </c>
      <c r="L1276" t="n">
        <v>0</v>
      </c>
      <c r="M1276" t="n">
        <v>0</v>
      </c>
      <c r="N1276" t="n">
        <v>0</v>
      </c>
      <c r="O1276" t="n">
        <v>0</v>
      </c>
      <c r="P1276" t="n">
        <v>0</v>
      </c>
      <c r="Q1276" t="n">
        <v>1</v>
      </c>
      <c r="R1276" s="2" t="inlineStr">
        <is>
          <t>Skinnlav</t>
        </is>
      </c>
      <c r="S1276">
        <f>HYPERLINK("https://klasma.github.io/Logging_2482/artfynd/A 47963-2022 artfynd.xlsx", "A 47963-2022")</f>
        <v/>
      </c>
      <c r="T1276">
        <f>HYPERLINK("https://klasma.github.io/Logging_2482/kartor/A 47963-2022 karta.png", "A 47963-2022")</f>
        <v/>
      </c>
      <c r="V1276">
        <f>HYPERLINK("https://klasma.github.io/Logging_2482/klagomål/A 47963-2022 FSC-klagomål.docx", "A 47963-2022")</f>
        <v/>
      </c>
      <c r="W1276">
        <f>HYPERLINK("https://klasma.github.io/Logging_2482/klagomålsmail/A 47963-2022 FSC-klagomål mail.docx", "A 47963-2022")</f>
        <v/>
      </c>
      <c r="X1276">
        <f>HYPERLINK("https://klasma.github.io/Logging_2482/tillsyn/A 47963-2022 tillsynsbegäran.docx", "A 47963-2022")</f>
        <v/>
      </c>
      <c r="Y1276">
        <f>HYPERLINK("https://klasma.github.io/Logging_2482/tillsynsmail/A 47963-2022 tillsynsbegäran mail.docx", "A 47963-2022")</f>
        <v/>
      </c>
    </row>
    <row r="1277" ht="15" customHeight="1">
      <c r="A1277" t="inlineStr">
        <is>
          <t>A 48089-2022</t>
        </is>
      </c>
      <c r="B1277" s="1" t="n">
        <v>44855</v>
      </c>
      <c r="C1277" s="1" t="n">
        <v>45792</v>
      </c>
      <c r="D1277" t="inlineStr">
        <is>
          <t>VÄSTERBOTTENS LÄN</t>
        </is>
      </c>
      <c r="E1277" t="inlineStr">
        <is>
          <t>DOROTEA</t>
        </is>
      </c>
      <c r="F1277" t="inlineStr">
        <is>
          <t>SCA</t>
        </is>
      </c>
      <c r="G1277" t="n">
        <v>9.199999999999999</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HYPERLINK("https://klasma.github.io/Logging_2425/artfynd/A 48089-2022 artfynd.xlsx", "A 48089-2022")</f>
        <v/>
      </c>
      <c r="T1277">
        <f>HYPERLINK("https://klasma.github.io/Logging_2425/kartor/A 48089-2022 karta.png", "A 48089-2022")</f>
        <v/>
      </c>
      <c r="V1277">
        <f>HYPERLINK("https://klasma.github.io/Logging_2425/klagomål/A 48089-2022 FSC-klagomål.docx", "A 48089-2022")</f>
        <v/>
      </c>
      <c r="W1277">
        <f>HYPERLINK("https://klasma.github.io/Logging_2425/klagomålsmail/A 48089-2022 FSC-klagomål mail.docx", "A 48089-2022")</f>
        <v/>
      </c>
      <c r="X1277">
        <f>HYPERLINK("https://klasma.github.io/Logging_2425/tillsyn/A 48089-2022 tillsynsbegäran.docx", "A 48089-2022")</f>
        <v/>
      </c>
      <c r="Y1277">
        <f>HYPERLINK("https://klasma.github.io/Logging_2425/tillsynsmail/A 48089-2022 tillsynsbegäran mail.docx", "A 48089-2022")</f>
        <v/>
      </c>
    </row>
    <row r="1278" ht="15" customHeight="1">
      <c r="A1278" t="inlineStr">
        <is>
          <t>A 48771-2022</t>
        </is>
      </c>
      <c r="B1278" s="1" t="n">
        <v>44859</v>
      </c>
      <c r="C1278" s="1" t="n">
        <v>45792</v>
      </c>
      <c r="D1278" t="inlineStr">
        <is>
          <t>VÄSTERBOTTENS LÄN</t>
        </is>
      </c>
      <c r="E1278" t="inlineStr">
        <is>
          <t>UMEÅ</t>
        </is>
      </c>
      <c r="F1278" t="inlineStr">
        <is>
          <t>Holmen skog AB</t>
        </is>
      </c>
      <c r="G1278" t="n">
        <v>4.6</v>
      </c>
      <c r="H1278" t="n">
        <v>0</v>
      </c>
      <c r="I1278" t="n">
        <v>1</v>
      </c>
      <c r="J1278" t="n">
        <v>0</v>
      </c>
      <c r="K1278" t="n">
        <v>0</v>
      </c>
      <c r="L1278" t="n">
        <v>0</v>
      </c>
      <c r="M1278" t="n">
        <v>0</v>
      </c>
      <c r="N1278" t="n">
        <v>0</v>
      </c>
      <c r="O1278" t="n">
        <v>0</v>
      </c>
      <c r="P1278" t="n">
        <v>0</v>
      </c>
      <c r="Q1278" t="n">
        <v>1</v>
      </c>
      <c r="R1278" s="2" t="inlineStr">
        <is>
          <t>Vedticka</t>
        </is>
      </c>
      <c r="S1278">
        <f>HYPERLINK("https://klasma.github.io/Logging_2480/artfynd/A 48771-2022 artfynd.xlsx", "A 48771-2022")</f>
        <v/>
      </c>
      <c r="T1278">
        <f>HYPERLINK("https://klasma.github.io/Logging_2480/kartor/A 48771-2022 karta.png", "A 48771-2022")</f>
        <v/>
      </c>
      <c r="V1278">
        <f>HYPERLINK("https://klasma.github.io/Logging_2480/klagomål/A 48771-2022 FSC-klagomål.docx", "A 48771-2022")</f>
        <v/>
      </c>
      <c r="W1278">
        <f>HYPERLINK("https://klasma.github.io/Logging_2480/klagomålsmail/A 48771-2022 FSC-klagomål mail.docx", "A 48771-2022")</f>
        <v/>
      </c>
      <c r="X1278">
        <f>HYPERLINK("https://klasma.github.io/Logging_2480/tillsyn/A 48771-2022 tillsynsbegäran.docx", "A 48771-2022")</f>
        <v/>
      </c>
      <c r="Y1278">
        <f>HYPERLINK("https://klasma.github.io/Logging_2480/tillsynsmail/A 48771-2022 tillsynsbegäran mail.docx", "A 48771-2022")</f>
        <v/>
      </c>
    </row>
    <row r="1279" ht="15" customHeight="1">
      <c r="A1279" t="inlineStr">
        <is>
          <t>A 48947-2022</t>
        </is>
      </c>
      <c r="B1279" s="1" t="n">
        <v>44859</v>
      </c>
      <c r="C1279" s="1" t="n">
        <v>45792</v>
      </c>
      <c r="D1279" t="inlineStr">
        <is>
          <t>VÄSTERBOTTENS LÄN</t>
        </is>
      </c>
      <c r="E1279" t="inlineStr">
        <is>
          <t>NORDMALING</t>
        </is>
      </c>
      <c r="F1279" t="inlineStr">
        <is>
          <t>SCA</t>
        </is>
      </c>
      <c r="G1279" t="n">
        <v>3.4</v>
      </c>
      <c r="H1279" t="n">
        <v>0</v>
      </c>
      <c r="I1279" t="n">
        <v>1</v>
      </c>
      <c r="J1279" t="n">
        <v>0</v>
      </c>
      <c r="K1279" t="n">
        <v>0</v>
      </c>
      <c r="L1279" t="n">
        <v>0</v>
      </c>
      <c r="M1279" t="n">
        <v>0</v>
      </c>
      <c r="N1279" t="n">
        <v>0</v>
      </c>
      <c r="O1279" t="n">
        <v>0</v>
      </c>
      <c r="P1279" t="n">
        <v>0</v>
      </c>
      <c r="Q1279" t="n">
        <v>1</v>
      </c>
      <c r="R1279" s="2" t="inlineStr">
        <is>
          <t>Trådticka</t>
        </is>
      </c>
      <c r="S1279">
        <f>HYPERLINK("https://klasma.github.io/Logging_2401/artfynd/A 48947-2022 artfynd.xlsx", "A 48947-2022")</f>
        <v/>
      </c>
      <c r="T1279">
        <f>HYPERLINK("https://klasma.github.io/Logging_2401/kartor/A 48947-2022 karta.png", "A 48947-2022")</f>
        <v/>
      </c>
      <c r="V1279">
        <f>HYPERLINK("https://klasma.github.io/Logging_2401/klagomål/A 48947-2022 FSC-klagomål.docx", "A 48947-2022")</f>
        <v/>
      </c>
      <c r="W1279">
        <f>HYPERLINK("https://klasma.github.io/Logging_2401/klagomålsmail/A 48947-2022 FSC-klagomål mail.docx", "A 48947-2022")</f>
        <v/>
      </c>
      <c r="X1279">
        <f>HYPERLINK("https://klasma.github.io/Logging_2401/tillsyn/A 48947-2022 tillsynsbegäran.docx", "A 48947-2022")</f>
        <v/>
      </c>
      <c r="Y1279">
        <f>HYPERLINK("https://klasma.github.io/Logging_2401/tillsynsmail/A 48947-2022 tillsynsbegäran mail.docx", "A 48947-2022")</f>
        <v/>
      </c>
    </row>
    <row r="1280" ht="15" customHeight="1">
      <c r="A1280" t="inlineStr">
        <is>
          <t>A 49658-2022</t>
        </is>
      </c>
      <c r="B1280" s="1" t="n">
        <v>44862</v>
      </c>
      <c r="C1280" s="1" t="n">
        <v>45792</v>
      </c>
      <c r="D1280" t="inlineStr">
        <is>
          <t>VÄSTERBOTTENS LÄN</t>
        </is>
      </c>
      <c r="E1280" t="inlineStr">
        <is>
          <t>UMEÅ</t>
        </is>
      </c>
      <c r="F1280" t="inlineStr">
        <is>
          <t>Holmen skog AB</t>
        </is>
      </c>
      <c r="G1280" t="n">
        <v>2.2</v>
      </c>
      <c r="H1280" t="n">
        <v>1</v>
      </c>
      <c r="I1280" t="n">
        <v>0</v>
      </c>
      <c r="J1280" t="n">
        <v>0</v>
      </c>
      <c r="K1280" t="n">
        <v>0</v>
      </c>
      <c r="L1280" t="n">
        <v>0</v>
      </c>
      <c r="M1280" t="n">
        <v>0</v>
      </c>
      <c r="N1280" t="n">
        <v>0</v>
      </c>
      <c r="O1280" t="n">
        <v>0</v>
      </c>
      <c r="P1280" t="n">
        <v>0</v>
      </c>
      <c r="Q1280" t="n">
        <v>1</v>
      </c>
      <c r="R1280" s="2" t="inlineStr">
        <is>
          <t>Vanlig groda</t>
        </is>
      </c>
      <c r="S1280">
        <f>HYPERLINK("https://klasma.github.io/Logging_2480/artfynd/A 49658-2022 artfynd.xlsx", "A 49658-2022")</f>
        <v/>
      </c>
      <c r="T1280">
        <f>HYPERLINK("https://klasma.github.io/Logging_2480/kartor/A 49658-2022 karta.png", "A 49658-2022")</f>
        <v/>
      </c>
      <c r="V1280">
        <f>HYPERLINK("https://klasma.github.io/Logging_2480/klagomål/A 49658-2022 FSC-klagomål.docx", "A 49658-2022")</f>
        <v/>
      </c>
      <c r="W1280">
        <f>HYPERLINK("https://klasma.github.io/Logging_2480/klagomålsmail/A 49658-2022 FSC-klagomål mail.docx", "A 49658-2022")</f>
        <v/>
      </c>
      <c r="X1280">
        <f>HYPERLINK("https://klasma.github.io/Logging_2480/tillsyn/A 49658-2022 tillsynsbegäran.docx", "A 49658-2022")</f>
        <v/>
      </c>
      <c r="Y1280">
        <f>HYPERLINK("https://klasma.github.io/Logging_2480/tillsynsmail/A 49658-2022 tillsynsbegäran mail.docx", "A 49658-2022")</f>
        <v/>
      </c>
    </row>
    <row r="1281" ht="15" customHeight="1">
      <c r="A1281" t="inlineStr">
        <is>
          <t>A 49588-2022</t>
        </is>
      </c>
      <c r="B1281" s="1" t="n">
        <v>44862</v>
      </c>
      <c r="C1281" s="1" t="n">
        <v>45792</v>
      </c>
      <c r="D1281" t="inlineStr">
        <is>
          <t>VÄSTERBOTTENS LÄN</t>
        </is>
      </c>
      <c r="E1281" t="inlineStr">
        <is>
          <t>SKELLEFTEÅ</t>
        </is>
      </c>
      <c r="F1281" t="inlineStr">
        <is>
          <t>Holmen skog AB</t>
        </is>
      </c>
      <c r="G1281" t="n">
        <v>6.1</v>
      </c>
      <c r="H1281" t="n">
        <v>0</v>
      </c>
      <c r="I1281" t="n">
        <v>0</v>
      </c>
      <c r="J1281" t="n">
        <v>1</v>
      </c>
      <c r="K1281" t="n">
        <v>0</v>
      </c>
      <c r="L1281" t="n">
        <v>0</v>
      </c>
      <c r="M1281" t="n">
        <v>0</v>
      </c>
      <c r="N1281" t="n">
        <v>0</v>
      </c>
      <c r="O1281" t="n">
        <v>1</v>
      </c>
      <c r="P1281" t="n">
        <v>0</v>
      </c>
      <c r="Q1281" t="n">
        <v>1</v>
      </c>
      <c r="R1281" s="2" t="inlineStr">
        <is>
          <t>Lunglav</t>
        </is>
      </c>
      <c r="S1281">
        <f>HYPERLINK("https://klasma.github.io/Logging_2482/artfynd/A 49588-2022 artfynd.xlsx", "A 49588-2022")</f>
        <v/>
      </c>
      <c r="T1281">
        <f>HYPERLINK("https://klasma.github.io/Logging_2482/kartor/A 49588-2022 karta.png", "A 49588-2022")</f>
        <v/>
      </c>
      <c r="V1281">
        <f>HYPERLINK("https://klasma.github.io/Logging_2482/klagomål/A 49588-2022 FSC-klagomål.docx", "A 49588-2022")</f>
        <v/>
      </c>
      <c r="W1281">
        <f>HYPERLINK("https://klasma.github.io/Logging_2482/klagomålsmail/A 49588-2022 FSC-klagomål mail.docx", "A 49588-2022")</f>
        <v/>
      </c>
      <c r="X1281">
        <f>HYPERLINK("https://klasma.github.io/Logging_2482/tillsyn/A 49588-2022 tillsynsbegäran.docx", "A 49588-2022")</f>
        <v/>
      </c>
      <c r="Y1281">
        <f>HYPERLINK("https://klasma.github.io/Logging_2482/tillsynsmail/A 49588-2022 tillsynsbegäran mail.docx", "A 49588-2022")</f>
        <v/>
      </c>
    </row>
    <row r="1282" ht="15" customHeight="1">
      <c r="A1282" t="inlineStr">
        <is>
          <t>A 49842-2022</t>
        </is>
      </c>
      <c r="B1282" s="1" t="n">
        <v>44862</v>
      </c>
      <c r="C1282" s="1" t="n">
        <v>45792</v>
      </c>
      <c r="D1282" t="inlineStr">
        <is>
          <t>VÄSTERBOTTENS LÄN</t>
        </is>
      </c>
      <c r="E1282" t="inlineStr">
        <is>
          <t>SKELLEFTEÅ</t>
        </is>
      </c>
      <c r="G1282" t="n">
        <v>7</v>
      </c>
      <c r="H1282" t="n">
        <v>0</v>
      </c>
      <c r="I1282" t="n">
        <v>0</v>
      </c>
      <c r="J1282" t="n">
        <v>1</v>
      </c>
      <c r="K1282" t="n">
        <v>0</v>
      </c>
      <c r="L1282" t="n">
        <v>0</v>
      </c>
      <c r="M1282" t="n">
        <v>0</v>
      </c>
      <c r="N1282" t="n">
        <v>0</v>
      </c>
      <c r="O1282" t="n">
        <v>1</v>
      </c>
      <c r="P1282" t="n">
        <v>0</v>
      </c>
      <c r="Q1282" t="n">
        <v>1</v>
      </c>
      <c r="R1282" s="2" t="inlineStr">
        <is>
          <t>Blå taggsvamp</t>
        </is>
      </c>
      <c r="S1282">
        <f>HYPERLINK("https://klasma.github.io/Logging_2482/artfynd/A 49842-2022 artfynd.xlsx", "A 49842-2022")</f>
        <v/>
      </c>
      <c r="T1282">
        <f>HYPERLINK("https://klasma.github.io/Logging_2482/kartor/A 49842-2022 karta.png", "A 49842-2022")</f>
        <v/>
      </c>
      <c r="V1282">
        <f>HYPERLINK("https://klasma.github.io/Logging_2482/klagomål/A 49842-2022 FSC-klagomål.docx", "A 49842-2022")</f>
        <v/>
      </c>
      <c r="W1282">
        <f>HYPERLINK("https://klasma.github.io/Logging_2482/klagomålsmail/A 49842-2022 FSC-klagomål mail.docx", "A 49842-2022")</f>
        <v/>
      </c>
      <c r="X1282">
        <f>HYPERLINK("https://klasma.github.io/Logging_2482/tillsyn/A 49842-2022 tillsynsbegäran.docx", "A 49842-2022")</f>
        <v/>
      </c>
      <c r="Y1282">
        <f>HYPERLINK("https://klasma.github.io/Logging_2482/tillsynsmail/A 49842-2022 tillsynsbegäran mail.docx", "A 49842-2022")</f>
        <v/>
      </c>
    </row>
    <row r="1283" ht="15" customHeight="1">
      <c r="A1283" t="inlineStr">
        <is>
          <t>A 50257-2022</t>
        </is>
      </c>
      <c r="B1283" s="1" t="n">
        <v>44865</v>
      </c>
      <c r="C1283" s="1" t="n">
        <v>45792</v>
      </c>
      <c r="D1283" t="inlineStr">
        <is>
          <t>VÄSTERBOTTENS LÄN</t>
        </is>
      </c>
      <c r="E1283" t="inlineStr">
        <is>
          <t>NORDMALING</t>
        </is>
      </c>
      <c r="F1283" t="inlineStr">
        <is>
          <t>Holmen skog AB</t>
        </is>
      </c>
      <c r="G1283" t="n">
        <v>9.6</v>
      </c>
      <c r="H1283" t="n">
        <v>0</v>
      </c>
      <c r="I1283" t="n">
        <v>0</v>
      </c>
      <c r="J1283" t="n">
        <v>1</v>
      </c>
      <c r="K1283" t="n">
        <v>0</v>
      </c>
      <c r="L1283" t="n">
        <v>0</v>
      </c>
      <c r="M1283" t="n">
        <v>0</v>
      </c>
      <c r="N1283" t="n">
        <v>0</v>
      </c>
      <c r="O1283" t="n">
        <v>1</v>
      </c>
      <c r="P1283" t="n">
        <v>0</v>
      </c>
      <c r="Q1283" t="n">
        <v>1</v>
      </c>
      <c r="R1283" s="2" t="inlineStr">
        <is>
          <t>Garnlav</t>
        </is>
      </c>
      <c r="S1283">
        <f>HYPERLINK("https://klasma.github.io/Logging_2401/artfynd/A 50257-2022 artfynd.xlsx", "A 50257-2022")</f>
        <v/>
      </c>
      <c r="T1283">
        <f>HYPERLINK("https://klasma.github.io/Logging_2401/kartor/A 50257-2022 karta.png", "A 50257-2022")</f>
        <v/>
      </c>
      <c r="V1283">
        <f>HYPERLINK("https://klasma.github.io/Logging_2401/klagomål/A 50257-2022 FSC-klagomål.docx", "A 50257-2022")</f>
        <v/>
      </c>
      <c r="W1283">
        <f>HYPERLINK("https://klasma.github.io/Logging_2401/klagomålsmail/A 50257-2022 FSC-klagomål mail.docx", "A 50257-2022")</f>
        <v/>
      </c>
      <c r="X1283">
        <f>HYPERLINK("https://klasma.github.io/Logging_2401/tillsyn/A 50257-2022 tillsynsbegäran.docx", "A 50257-2022")</f>
        <v/>
      </c>
      <c r="Y1283">
        <f>HYPERLINK("https://klasma.github.io/Logging_2401/tillsynsmail/A 50257-2022 tillsynsbegäran mail.docx", "A 50257-2022")</f>
        <v/>
      </c>
    </row>
    <row r="1284" ht="15" customHeight="1">
      <c r="A1284" t="inlineStr">
        <is>
          <t>A 51554-2022</t>
        </is>
      </c>
      <c r="B1284" s="1" t="n">
        <v>44869</v>
      </c>
      <c r="C1284" s="1" t="n">
        <v>45792</v>
      </c>
      <c r="D1284" t="inlineStr">
        <is>
          <t>VÄSTERBOTTENS LÄN</t>
        </is>
      </c>
      <c r="E1284" t="inlineStr">
        <is>
          <t>LYCKSELE</t>
        </is>
      </c>
      <c r="F1284" t="inlineStr">
        <is>
          <t>SCA</t>
        </is>
      </c>
      <c r="G1284" t="n">
        <v>4.2</v>
      </c>
      <c r="H1284" t="n">
        <v>1</v>
      </c>
      <c r="I1284" t="n">
        <v>0</v>
      </c>
      <c r="J1284" t="n">
        <v>1</v>
      </c>
      <c r="K1284" t="n">
        <v>0</v>
      </c>
      <c r="L1284" t="n">
        <v>0</v>
      </c>
      <c r="M1284" t="n">
        <v>0</v>
      </c>
      <c r="N1284" t="n">
        <v>0</v>
      </c>
      <c r="O1284" t="n">
        <v>1</v>
      </c>
      <c r="P1284" t="n">
        <v>0</v>
      </c>
      <c r="Q1284" t="n">
        <v>1</v>
      </c>
      <c r="R1284" s="2" t="inlineStr">
        <is>
          <t>Kungsörn</t>
        </is>
      </c>
      <c r="S1284">
        <f>HYPERLINK("https://klasma.github.io/Logging_2481/artfynd/A 51554-2022 artfynd.xlsx", "A 51554-2022")</f>
        <v/>
      </c>
      <c r="T1284">
        <f>HYPERLINK("https://klasma.github.io/Logging_2481/kartor/A 51554-2022 karta.png", "A 51554-2022")</f>
        <v/>
      </c>
      <c r="V1284">
        <f>HYPERLINK("https://klasma.github.io/Logging_2481/klagomål/A 51554-2022 FSC-klagomål.docx", "A 51554-2022")</f>
        <v/>
      </c>
      <c r="W1284">
        <f>HYPERLINK("https://klasma.github.io/Logging_2481/klagomålsmail/A 51554-2022 FSC-klagomål mail.docx", "A 51554-2022")</f>
        <v/>
      </c>
      <c r="X1284">
        <f>HYPERLINK("https://klasma.github.io/Logging_2481/tillsyn/A 51554-2022 tillsynsbegäran.docx", "A 51554-2022")</f>
        <v/>
      </c>
      <c r="Y1284">
        <f>HYPERLINK("https://klasma.github.io/Logging_2481/tillsynsmail/A 51554-2022 tillsynsbegäran mail.docx", "A 51554-2022")</f>
        <v/>
      </c>
      <c r="Z1284">
        <f>HYPERLINK("https://klasma.github.io/Logging_2481/fåglar/A 51554-2022 prioriterade fågelarter.docx", "A 51554-2022")</f>
        <v/>
      </c>
    </row>
    <row r="1285" ht="15" customHeight="1">
      <c r="A1285" t="inlineStr">
        <is>
          <t>A 53071-2022</t>
        </is>
      </c>
      <c r="B1285" s="1" t="n">
        <v>44873</v>
      </c>
      <c r="C1285" s="1" t="n">
        <v>45792</v>
      </c>
      <c r="D1285" t="inlineStr">
        <is>
          <t>VÄSTERBOTTENS LÄN</t>
        </is>
      </c>
      <c r="E1285" t="inlineStr">
        <is>
          <t>SKELLEFTEÅ</t>
        </is>
      </c>
      <c r="G1285" t="n">
        <v>10.6</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53071-2022 artfynd.xlsx", "A 53071-2022")</f>
        <v/>
      </c>
      <c r="T1285">
        <f>HYPERLINK("https://klasma.github.io/Logging_2482/kartor/A 53071-2022 karta.png", "A 53071-2022")</f>
        <v/>
      </c>
      <c r="V1285">
        <f>HYPERLINK("https://klasma.github.io/Logging_2482/klagomål/A 53071-2022 FSC-klagomål.docx", "A 53071-2022")</f>
        <v/>
      </c>
      <c r="W1285">
        <f>HYPERLINK("https://klasma.github.io/Logging_2482/klagomålsmail/A 53071-2022 FSC-klagomål mail.docx", "A 53071-2022")</f>
        <v/>
      </c>
      <c r="X1285">
        <f>HYPERLINK("https://klasma.github.io/Logging_2482/tillsyn/A 53071-2022 tillsynsbegäran.docx", "A 53071-2022")</f>
        <v/>
      </c>
      <c r="Y1285">
        <f>HYPERLINK("https://klasma.github.io/Logging_2482/tillsynsmail/A 53071-2022 tillsynsbegäran mail.docx", "A 53071-2022")</f>
        <v/>
      </c>
    </row>
    <row r="1286" ht="15" customHeight="1">
      <c r="A1286" t="inlineStr">
        <is>
          <t>A 52690-2022</t>
        </is>
      </c>
      <c r="B1286" s="1" t="n">
        <v>44874</v>
      </c>
      <c r="C1286" s="1" t="n">
        <v>45792</v>
      </c>
      <c r="D1286" t="inlineStr">
        <is>
          <t>VÄSTERBOTTENS LÄN</t>
        </is>
      </c>
      <c r="E1286" t="inlineStr">
        <is>
          <t>BJURHOLM</t>
        </is>
      </c>
      <c r="F1286" t="inlineStr">
        <is>
          <t>Sveaskog</t>
        </is>
      </c>
      <c r="G1286" t="n">
        <v>17.3</v>
      </c>
      <c r="H1286" t="n">
        <v>0</v>
      </c>
      <c r="I1286" t="n">
        <v>0</v>
      </c>
      <c r="J1286" t="n">
        <v>1</v>
      </c>
      <c r="K1286" t="n">
        <v>0</v>
      </c>
      <c r="L1286" t="n">
        <v>0</v>
      </c>
      <c r="M1286" t="n">
        <v>0</v>
      </c>
      <c r="N1286" t="n">
        <v>0</v>
      </c>
      <c r="O1286" t="n">
        <v>1</v>
      </c>
      <c r="P1286" t="n">
        <v>0</v>
      </c>
      <c r="Q1286" t="n">
        <v>1</v>
      </c>
      <c r="R1286" s="2" t="inlineStr">
        <is>
          <t>Motaggsvamp</t>
        </is>
      </c>
      <c r="S1286">
        <f>HYPERLINK("https://klasma.github.io/Logging_2403/artfynd/A 52690-2022 artfynd.xlsx", "A 52690-2022")</f>
        <v/>
      </c>
      <c r="T1286">
        <f>HYPERLINK("https://klasma.github.io/Logging_2403/kartor/A 52690-2022 karta.png", "A 52690-2022")</f>
        <v/>
      </c>
      <c r="V1286">
        <f>HYPERLINK("https://klasma.github.io/Logging_2403/klagomål/A 52690-2022 FSC-klagomål.docx", "A 52690-2022")</f>
        <v/>
      </c>
      <c r="W1286">
        <f>HYPERLINK("https://klasma.github.io/Logging_2403/klagomålsmail/A 52690-2022 FSC-klagomål mail.docx", "A 52690-2022")</f>
        <v/>
      </c>
      <c r="X1286">
        <f>HYPERLINK("https://klasma.github.io/Logging_2403/tillsyn/A 52690-2022 tillsynsbegäran.docx", "A 52690-2022")</f>
        <v/>
      </c>
      <c r="Y1286">
        <f>HYPERLINK("https://klasma.github.io/Logging_2403/tillsynsmail/A 52690-2022 tillsynsbegäran mail.docx", "A 52690-2022")</f>
        <v/>
      </c>
    </row>
    <row r="1287" ht="15" customHeight="1">
      <c r="A1287" t="inlineStr">
        <is>
          <t>A 54058-2022</t>
        </is>
      </c>
      <c r="B1287" s="1" t="n">
        <v>44881</v>
      </c>
      <c r="C1287" s="1" t="n">
        <v>45792</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45792</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45792</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45792</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45792</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45792</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45792</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45792</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45792</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45792</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45792</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45792</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45792</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45792</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45792</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45792</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45792</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45792</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45792</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45792</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45792</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45792</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45792</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45792</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45792</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45792</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45792</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45792</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45792</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45792</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45792</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45792</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45792</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45792</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45792</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45792</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45792</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45792</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45792</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45792</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45792</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45792</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45792</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45792</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45792</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45792</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45792</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45792</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45792</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45792</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45792</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45792</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45792</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45792</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45792</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45792</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45792</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45792</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45792</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45792</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45792</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45792</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45792</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45792</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45792</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45792</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45792</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45792</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45792</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45792</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45792</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45792</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45792</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45792</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45792</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45792</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45792</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45792</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45792</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45792</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45792</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45792</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45792</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45792</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45792</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45792</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45792</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45792</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45792</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45792</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45792</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45792</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45792</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45792</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45792</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45792</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45792</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45792</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45792</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45792</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45792</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45792</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45792</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45792</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45792</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45792</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45792</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45792</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45792</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45792</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45792</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45792</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45792</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45792</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45792</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45792</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45792</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45792</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45792</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45792</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45792</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45792</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45792</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45792</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45792</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45792</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45792</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45792</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45792</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45792</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45792</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45792</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45792</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45792</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45792</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45792</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45792</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45792</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45792</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45792</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45792</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45792</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45792</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45792</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45792</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45792</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45792</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45792</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45792</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45792</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45792</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45792</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45792</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45792</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45792</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45792</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45792</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45792</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45792</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45792</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45792</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45792</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45792</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45792</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45792</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45792</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45792</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45792</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45792</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45792</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45792</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45792</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45792</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45792</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45792</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45792</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45792</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45792</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45792</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45792</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45792</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45792</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45792</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45792</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45792</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45792</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45792</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45792</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45792</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45792</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45792</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45792</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45792</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45792</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45792</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45792</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45792</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45792</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45792</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45792</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45792</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45792</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45792</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45792</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45792</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45792</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45792</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45792</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45792</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45792</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45792</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45792</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45792</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45792</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45792</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45792</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45792</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45792</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45792</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45792</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45792</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45792</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45792</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45792</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45792</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45792</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45792</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45792</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45792</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45792</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45792</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45792</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45792</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45792</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45792</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45792</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45792</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45792</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45792</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45792</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45792</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45792</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45792</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45792</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45792</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45792</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45792</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45792</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45792</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45792</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45792</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45792</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45792</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45792</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45792</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45792</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45792</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45792</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45792</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45792</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45792</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45792</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45792</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45792</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45792</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45792</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45792</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45792</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45792</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45792</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45792</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45792</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45792</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45792</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45792</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45792</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45792</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45792</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45792</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45792</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45792</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45792</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45792</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45792</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45792</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45792</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45792</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45792</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45792</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45792</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45792</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45792</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45792</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45792</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45792</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45792</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45792</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45792</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45792</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45792</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45792</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45792</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45792</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45792</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45792</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45792</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45792</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45792</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45792</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45792</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45792</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45792</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45792</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45792</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45792</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45792</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45792</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45792</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45792</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45792</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45792</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45792</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45792</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45792</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45792</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45792</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45792</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45792</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45792</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45792</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45792</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45792</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45792</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45792</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45792</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45792</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45792</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45792</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45792</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45792</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45792</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45792</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45792</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45792</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45792</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45792</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45792</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45792</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45792</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45792</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45792</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45792</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45792</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45792</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45792</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45792</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45792</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45792</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45792</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45792</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45792</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45792</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45792</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45792</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45792</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45792</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45792</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45792</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45792</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45792</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45792</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45792</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45792</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45792</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45792</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45792</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45792</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45792</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45792</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45792</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45792</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45792</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45792</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20929-2025</t>
        </is>
      </c>
      <c r="B1670" s="1" t="n">
        <v>45777</v>
      </c>
      <c r="C1670" s="1" t="n">
        <v>45792</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20929-2025 artfynd.xlsx", "A 20929-2025")</f>
        <v/>
      </c>
      <c r="T1670">
        <f>HYPERLINK("https://klasma.github.io/Logging_242481/kartor/A 20929-2025 karta.png", "A 20929-2025")</f>
        <v/>
      </c>
      <c r="V1670">
        <f>HYPERLINK("https://klasma.github.io/Logging_242481/klagomål/A 20929-2025 FSC-klagomål.docx", "A 20929-2025")</f>
        <v/>
      </c>
      <c r="W1670">
        <f>HYPERLINK("https://klasma.github.io/Logging_242481/klagomålsmail/A 20929-2025 FSC-klagomål mail.docx", "A 20929-2025")</f>
        <v/>
      </c>
      <c r="X1670">
        <f>HYPERLINK("https://klasma.github.io/Logging_242481/tillsyn/A 20929-2025 tillsynsbegäran.docx", "A 20929-2025")</f>
        <v/>
      </c>
      <c r="Y1670">
        <f>HYPERLINK("https://klasma.github.io/Logging_242481/tillsynsmail/A 20929-2025 tillsynsbegäran mail.docx", "A 20929-2025")</f>
        <v/>
      </c>
    </row>
    <row r="1671" ht="15" customHeight="1">
      <c r="A1671" t="inlineStr">
        <is>
          <t>A 20940-2025</t>
        </is>
      </c>
      <c r="B1671" s="1" t="n">
        <v>45777</v>
      </c>
      <c r="C1671" s="1" t="n">
        <v>45792</v>
      </c>
      <c r="D1671" t="inlineStr">
        <is>
          <t>VÄSTERBOTTENS LÄN</t>
        </is>
      </c>
      <c r="E1671" t="inlineStr">
        <is>
          <t>LYCKSELE</t>
        </is>
      </c>
      <c r="F1671" t="inlineStr">
        <is>
          <t>Sveaskog</t>
        </is>
      </c>
      <c r="G1671" t="n">
        <v>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HYPERLINK("https://klasma.github.io/Logging_242481/artfynd/A 20940-2025 artfynd.xlsx", "A 20940-2025")</f>
        <v/>
      </c>
      <c r="T1671">
        <f>HYPERLINK("https://klasma.github.io/Logging_242481/kartor/A 20940-2025 karta.png", "A 20940-2025")</f>
        <v/>
      </c>
      <c r="V1671">
        <f>HYPERLINK("https://klasma.github.io/Logging_242481/klagomål/A 20940-2025 FSC-klagomål.docx", "A 20940-2025")</f>
        <v/>
      </c>
      <c r="W1671">
        <f>HYPERLINK("https://klasma.github.io/Logging_242481/klagomålsmail/A 20940-2025 FSC-klagomål mail.docx", "A 20940-2025")</f>
        <v/>
      </c>
      <c r="X1671">
        <f>HYPERLINK("https://klasma.github.io/Logging_242481/tillsyn/A 20940-2025 tillsynsbegäran.docx", "A 20940-2025")</f>
        <v/>
      </c>
      <c r="Y1671">
        <f>HYPERLINK("https://klasma.github.io/Logging_242481/tillsynsmail/A 20940-2025 tillsynsbegäran mail.docx", "A 20940-2025")</f>
        <v/>
      </c>
    </row>
    <row r="1672" ht="15" customHeight="1">
      <c r="A1672" t="inlineStr">
        <is>
          <t>A 20971-2025</t>
        </is>
      </c>
      <c r="B1672" s="1" t="n">
        <v>45777</v>
      </c>
      <c r="C1672" s="1" t="n">
        <v>45792</v>
      </c>
      <c r="D1672" t="inlineStr">
        <is>
          <t>VÄSTERBOTTENS LÄN</t>
        </is>
      </c>
      <c r="E1672" t="inlineStr">
        <is>
          <t>BJURHOLM</t>
        </is>
      </c>
      <c r="F1672" t="inlineStr">
        <is>
          <t>Sveaskog</t>
        </is>
      </c>
      <c r="G1672" t="n">
        <v>17.3</v>
      </c>
      <c r="H1672" t="n">
        <v>0</v>
      </c>
      <c r="I1672" t="n">
        <v>0</v>
      </c>
      <c r="J1672" t="n">
        <v>0</v>
      </c>
      <c r="K1672" t="n">
        <v>1</v>
      </c>
      <c r="L1672" t="n">
        <v>0</v>
      </c>
      <c r="M1672" t="n">
        <v>0</v>
      </c>
      <c r="N1672" t="n">
        <v>0</v>
      </c>
      <c r="O1672" t="n">
        <v>1</v>
      </c>
      <c r="P1672" t="n">
        <v>1</v>
      </c>
      <c r="Q1672" t="n">
        <v>1</v>
      </c>
      <c r="R1672" s="2" t="inlineStr">
        <is>
          <t>Cyphea latiuscula</t>
        </is>
      </c>
      <c r="S1672">
        <f>HYPERLINK("https://klasma.github.io/Logging_242403/artfynd/A 20971-2025 artfynd.xlsx", "A 20971-2025")</f>
        <v/>
      </c>
      <c r="T1672">
        <f>HYPERLINK("https://klasma.github.io/Logging_242403/kartor/A 20971-2025 karta.png", "A 20971-2025")</f>
        <v/>
      </c>
      <c r="V1672">
        <f>HYPERLINK("https://klasma.github.io/Logging_242403/klagomål/A 20971-2025 FSC-klagomål.docx", "A 20971-2025")</f>
        <v/>
      </c>
      <c r="W1672">
        <f>HYPERLINK("https://klasma.github.io/Logging_242403/klagomålsmail/A 20971-2025 FSC-klagomål mail.docx", "A 20971-2025")</f>
        <v/>
      </c>
      <c r="X1672">
        <f>HYPERLINK("https://klasma.github.io/Logging_242403/tillsyn/A 20971-2025 tillsynsbegäran.docx", "A 20971-2025")</f>
        <v/>
      </c>
      <c r="Y1672">
        <f>HYPERLINK("https://klasma.github.io/Logging_242403/tillsynsmail/A 20971-2025 tillsynsbegäran mail.docx", "A 20971-2025")</f>
        <v/>
      </c>
    </row>
    <row r="1673" ht="15" customHeight="1">
      <c r="A1673" t="inlineStr">
        <is>
          <t>A 22373-2025</t>
        </is>
      </c>
      <c r="B1673" s="1" t="n">
        <v>45786</v>
      </c>
      <c r="C1673" s="1" t="n">
        <v>45792</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45792</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45792</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45792</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45792</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45792</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45792</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45792</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45792</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45792</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45792</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45792</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45792</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45792</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45792</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45792</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45792</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45792</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45792</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45792</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45792</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45792</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45792</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45792</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45792</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45792</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45792</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45792</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45792</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45792</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45792</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45792</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45792</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45792</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45792</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45792</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45792</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45792</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45792</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45792</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45792</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45792</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45792</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45792</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45792</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45792</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45792</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45792</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45792</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45792</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45792</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45792</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45792</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45792</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45792</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45792</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45792</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45792</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45792</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45792</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45792</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45792</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45792</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45792</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45792</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45792</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45792</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45792</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45792</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45792</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45792</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45792</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45792</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45792</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45792</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45792</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45792</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45792</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45792</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45792</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45792</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45792</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45792</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45792</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45792</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45792</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45792</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45792</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45792</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45792</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45792</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45792</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45792</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45792</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45792</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45792</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45792</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45792</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45792</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45792</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45792</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45792</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45792</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45792</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45792</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45792</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45792</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45792</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45792</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45792</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45792</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45792</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45792</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45792</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45792</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45792</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45792</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45792</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45792</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45792</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45792</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45792</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45792</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45792</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45792</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45792</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45792</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45792</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45792</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45792</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45792</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45792</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45792</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45792</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45792</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45792</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45792</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45792</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45792</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45792</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45792</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45792</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45792</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45792</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45792</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45792</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45792</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45792</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45792</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45792</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45792</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45792</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45792</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45792</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45792</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45792</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45792</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45792</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45792</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45792</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45792</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45792</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45792</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45792</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45792</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45792</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45792</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45792</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45792</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45792</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45792</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45792</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45792</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45792</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45792</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45792</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45792</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45792</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45792</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45792</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45792</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45792</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45792</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45792</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45792</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45792</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45792</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45792</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45792</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45792</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45792</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45792</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45792</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45792</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45792</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45792</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45792</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45792</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45792</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45792</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45792</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45792</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45792</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45792</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45792</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45792</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45792</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45792</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45792</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45792</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45792</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45792</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45792</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45792</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45792</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45792</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45792</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45792</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45792</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45792</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45792</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45792</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45792</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45792</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45792</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45792</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45792</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45792</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45792</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45792</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45792</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45792</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45792</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45792</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45792</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45792</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45792</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45792</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45792</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45792</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45792</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45792</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45792</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45792</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45792</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45792</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45792</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45792</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45792</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45792</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45792</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45792</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45792</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45792</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45792</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45792</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45792</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45792</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45792</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45792</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45792</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45792</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45792</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45792</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45792</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45792</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45792</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45792</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45792</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45792</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45792</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45792</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45792</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45792</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45792</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45792</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45792</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45792</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45792</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45792</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45792</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45792</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45792</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45792</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45792</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45792</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45792</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45792</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45792</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45792</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45792</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45792</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45792</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45792</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45792</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45792</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45792</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45792</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45792</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45792</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45792</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45792</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45792</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45792</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45792</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45792</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45792</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45792</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45792</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45792</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45792</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45792</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45792</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45792</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45792</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45792</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45792</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45792</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45792</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45792</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45792</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45792</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45792</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45792</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45792</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45792</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45792</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45792</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45792</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45792</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45792</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45792</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45792</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45792</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45792</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45792</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45792</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45792</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45792</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45792</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45792</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45792</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45792</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45792</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45792</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45792</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45792</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45792</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45792</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45792</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45792</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45792</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45792</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45792</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45792</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45792</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45792</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45792</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45792</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45792</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45792</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45792</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45792</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45792</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45792</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45792</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45792</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45792</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45792</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45792</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45792</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45792</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45792</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45792</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45792</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45792</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45792</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45792</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45792</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45792</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45792</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45792</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45792</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45792</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45792</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45792</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45792</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45792</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45792</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45792</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45792</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45792</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45792</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45792</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45792</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45792</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45792</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45792</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45792</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45792</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45792</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45792</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45792</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45792</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45792</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45792</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45792</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45792</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45792</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45792</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45792</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45792</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45792</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45792</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45792</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45792</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45792</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45792</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45792</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45792</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45792</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45792</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45792</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45792</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45792</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45792</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45792</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45792</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45792</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45792</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45792</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45792</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45792</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45792</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45792</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45792</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45792</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45792</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45792</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45792</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45792</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45792</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45792</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45792</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45792</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45792</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45792</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45792</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45792</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45792</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45792</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45792</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45792</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45792</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45792</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45792</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45792</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45792</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45792</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45792</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45792</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45792</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45792</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45792</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45792</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45792</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45792</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45792</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45792</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45792</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45792</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45792</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45792</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45792</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45792</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45792</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45792</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45792</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45792</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45792</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45792</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45792</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45792</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45792</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45792</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45792</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45792</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45792</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45792</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45792</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45792</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45792</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45792</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45792</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45792</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45792</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45792</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45792</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45792</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45792</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45792</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45792</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45792</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45792</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45792</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45792</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45792</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45792</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45792</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45792</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45792</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45792</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45792</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45792</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45792</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45792</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45792</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45792</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45792</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45792</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45792</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45792</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45792</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45792</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45792</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45792</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45792</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45792</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45792</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45792</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45792</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45792</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45792</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45792</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45792</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45792</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45792</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45792</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45792</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45792</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45792</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45792</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45792</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45792</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45792</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45792</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45792</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45792</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45792</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45792</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45792</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45792</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45792</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45792</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45792</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45792</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45792</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45792</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45792</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45792</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45792</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45792</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45792</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45792</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45792</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45792</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45792</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45792</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45792</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45792</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45792</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45792</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45792</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45792</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45792</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45792</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45792</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45792</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45792</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45792</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45792</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45792</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45792</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45792</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45792</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45792</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45792</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45792</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45792</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45792</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45792</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45792</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45792</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45792</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45792</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45792</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45792</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45792</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45792</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45792</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45792</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45792</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45792</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45792</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45792</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45792</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45792</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45792</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45792</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45792</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45792</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45792</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45792</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45792</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45792</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45792</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45792</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45792</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45792</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45792</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45792</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45792</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45792</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45792</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45792</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45792</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45792</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45792</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45792</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45792</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45792</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45792</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45792</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45792</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45792</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45792</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45792</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45792</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45792</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45792</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45792</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45792</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45792</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45792</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45792</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45792</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45792</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45792</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45792</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45792</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45792</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45792</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45792</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45792</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45792</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45792</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45792</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45792</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45792</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45792</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45792</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45792</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45792</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45792</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45792</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45792</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45792</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45792</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45792</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45792</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45792</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45792</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45792</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45792</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45792</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45792</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45792</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45792</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45792</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45792</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45792</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45792</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45792</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45792</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45792</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45792</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45792</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45792</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45792</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45792</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45792</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45792</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45792</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45792</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45792</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45792</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45792</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45792</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45792</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45792</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45792</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45792</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45792</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45792</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45792</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45792</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45792</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45792</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45792</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45792</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45792</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45792</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45792</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45792</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45792</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45792</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45792</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45792</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45792</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45792</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45792</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45792</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45792</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45792</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45792</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45792</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45792</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45792</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45792</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45792</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45792</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45792</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45792</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45792</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45792</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45792</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45792</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45792</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45792</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45792</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45792</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45792</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45792</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45792</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45792</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45792</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45792</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45792</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45792</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45792</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45792</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45792</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45792</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45792</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45792</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45792</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45792</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45792</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45792</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45792</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45792</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45792</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45792</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45792</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45792</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45792</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45792</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45792</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45792</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45792</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45792</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45792</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45792</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45792</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45792</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45792</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45792</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45792</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45792</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45792</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45792</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45792</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45792</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45792</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45792</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45792</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45792</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45792</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45792</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45792</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45792</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45792</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45792</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45792</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45792</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45792</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45792</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45792</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45792</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45792</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45792</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45792</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45792</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45792</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45792</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45792</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45792</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45792</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45792</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45792</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45792</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45792</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45792</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45792</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45792</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45792</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45792</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45792</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45792</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45792</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45792</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45792</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45792</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45792</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45792</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45792</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45792</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45792</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45792</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45792</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45792</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45792</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45792</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45792</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45792</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45792</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45792</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45792</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45792</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45792</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45792</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45792</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45792</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45792</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45792</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45792</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45792</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45792</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45792</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45792</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45792</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45792</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45792</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45792</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45792</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45792</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45792</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45792</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45792</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45792</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45792</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45792</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45792</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45792</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45792</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45792</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45792</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45792</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45792</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45792</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45792</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45792</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45792</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45792</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45792</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45792</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45792</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45792</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45792</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45792</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45792</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45792</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45792</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45792</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45792</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45792</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45792</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45792</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45792</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45792</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45792</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45792</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45792</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45792</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45792</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45792</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45792</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45792</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45792</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45792</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45792</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45792</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45792</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45792</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45792</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45792</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45792</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45792</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45792</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45792</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45792</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45792</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45792</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45792</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45792</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45792</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45792</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45792</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45792</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45792</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45792</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45792</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45792</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45792</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45792</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45792</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45792</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45792</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45792</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45792</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45792</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45792</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45792</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45792</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45792</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45792</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45792</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45792</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45792</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45792</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45792</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45792</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45792</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45792</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45792</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45792</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45792</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45792</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45792</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45792</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45792</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45792</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45792</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45792</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45792</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45792</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45792</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45792</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45792</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45792</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45792</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45792</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45792</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45792</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45792</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45792</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45792</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45792</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45792</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45792</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45792</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45792</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45792</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45792</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45792</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45792</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45792</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45792</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45792</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45792</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45792</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45792</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45792</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45792</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45792</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45792</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45792</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45792</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45792</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45792</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45792</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45792</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45792</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45792</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45792</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45792</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45792</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45792</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45792</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45792</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45792</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45792</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45792</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45792</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45792</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45792</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45792</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45792</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45792</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45792</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45792</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45792</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45792</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45792</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45792</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45792</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45792</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45792</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45792</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45792</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45792</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45792</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45792</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45792</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45792</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45792</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45792</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45792</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45792</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45792</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45792</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45792</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45792</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45792</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45792</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45792</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45792</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45792</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45792</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45792</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45792</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45792</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45792</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45792</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45792</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45792</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45792</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45792</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45792</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45792</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45792</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45792</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45792</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45792</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45792</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45792</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45792</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45792</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45792</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45792</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45792</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45792</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45792</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45792</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45792</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45792</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45792</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45792</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45792</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45792</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45792</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45792</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45792</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45792</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45792</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45792</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45792</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45792</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45792</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45792</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45792</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45792</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45792</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45792</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45792</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45792</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45792</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45792</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45792</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45792</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45792</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45792</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45792</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45792</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45792</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45792</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45792</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45792</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45792</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45792</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45792</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45792</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45792</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45792</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45792</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45792</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45792</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45792</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45792</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45792</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45792</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45792</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45792</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45792</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45792</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45792</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45792</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45792</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45792</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45792</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45792</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45792</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45792</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45792</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45792</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45792</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45792</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45792</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45792</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45792</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45792</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45792</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45792</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45792</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45792</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45792</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45792</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45792</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45792</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45792</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45792</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45792</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45792</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45792</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45792</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45792</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45792</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45792</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45792</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45792</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45792</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45792</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45792</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45792</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45792</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45792</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45792</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45792</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45792</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45792</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45792</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45792</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45792</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45792</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45792</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45792</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45792</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45792</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45792</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45792</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45792</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45792</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45792</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45792</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45792</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45792</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45792</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45792</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45792</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45792</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45792</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45792</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45792</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45792</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45792</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45792</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45792</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45792</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45792</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45792</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45792</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45792</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45792</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45792</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45792</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45792</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45792</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45792</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45792</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45792</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45792</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45792</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45792</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45792</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45792</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45792</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45792</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45792</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45792</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45792</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45792</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45792</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45792</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45792</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45792</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45792</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45792</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45792</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45792</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45792</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45792</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45792</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45792</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45792</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45792</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45792</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45792</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45792</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45792</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45792</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45792</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45792</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45792</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45792</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45792</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45792</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45792</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45792</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45792</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45792</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45792</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45792</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45792</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45792</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45792</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45792</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45792</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45792</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45792</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45792</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45792</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45792</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45792</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45792</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45792</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45792</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45792</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45792</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45792</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45792</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45792</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45792</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45792</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45792</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45792</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45792</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45792</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45792</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45792</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45792</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45792</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45792</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45792</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45792</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45792</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45792</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45792</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45792</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45792</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45792</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45792</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45792</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45792</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45792</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45792</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45792</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45792</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45792</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45792</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45792</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45792</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45792</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45792</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45792</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45792</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45792</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45792</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45792</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45792</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45792</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45792</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45792</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45792</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45792</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45792</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45792</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45792</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45792</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45792</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45792</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45792</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45792</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45792</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45792</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45792</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45792</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45792</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45792</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45792</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45792</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45792</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45792</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45792</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45792</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45792</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45792</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45792</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45792</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45792</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45792</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45792</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45792</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45792</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45792</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45792</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45792</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45792</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45792</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45792</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45792</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45792</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45792</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45792</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45792</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45792</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45792</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45792</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45792</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45792</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45792</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45792</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45792</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45792</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45792</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45792</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45792</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45792</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45792</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45792</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45792</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45792</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45792</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45792</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45792</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45792</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45792</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45792</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45792</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45792</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45792</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45792</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45792</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45792</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45792</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45792</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45792</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45792</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45792</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45792</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45792</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45792</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45792</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45792</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45792</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45792</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45792</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45792</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45792</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45792</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45792</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45792</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45792</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45792</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45792</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45792</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45792</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45792</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45792</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45792</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45792</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45792</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45792</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45792</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45792</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45792</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45792</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45792</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45792</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45792</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45792</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45792</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45792</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45792</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45792</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45792</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45792</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45792</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45792</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45792</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45792</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45792</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45792</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45792</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45792</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45792</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45792</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45792</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45792</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45792</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45792</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45792</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45792</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45792</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45792</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45792</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45792</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45792</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45792</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45792</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45792</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45792</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45792</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45792</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45792</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45792</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45792</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45792</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45792</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45792</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45792</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45792</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45792</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45792</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45792</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45792</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45792</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45792</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45792</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45792</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45792</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45792</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45792</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45792</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45792</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45792</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45792</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45792</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45792</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45792</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45792</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45792</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45792</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45792</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45792</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45792</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45792</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45792</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45792</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45792</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45792</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45792</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45792</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45792</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45792</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45792</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45792</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45792</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45792</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45792</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45792</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45792</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45792</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45792</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45792</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45792</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45792</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45792</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45792</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45792</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45792</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45792</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45792</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45792</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45792</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45792</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45792</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45792</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45792</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45792</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45792</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45792</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45792</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45792</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45792</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45792</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45792</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45792</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45792</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45792</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45792</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45792</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45792</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45792</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45792</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45792</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45792</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45792</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45792</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45792</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45792</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45792</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45792</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45792</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45792</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45792</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45792</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45792</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45792</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45792</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45792</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45792</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45792</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45792</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45792</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45792</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45792</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45792</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45792</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45792</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45792</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45792</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45792</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45792</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45792</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45792</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45792</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45792</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45792</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45792</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45792</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45792</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45792</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45792</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45792</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45792</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45792</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45792</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45792</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45792</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45792</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45792</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45792</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45792</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45792</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45792</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45792</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45792</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45792</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45792</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45792</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45792</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45792</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45792</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45792</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45792</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45792</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45792</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45792</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45792</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45792</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45792</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45792</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45792</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45792</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45792</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45792</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45792</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45792</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45792</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45792</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45792</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45792</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45792</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45792</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45792</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45792</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45792</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45792</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45792</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45792</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45792</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45792</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45792</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45792</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45792</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45792</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45792</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45792</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45792</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45792</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45792</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45792</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45792</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45792</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45792</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45792</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45792</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45792</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45792</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45792</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45792</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45792</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45792</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45792</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45792</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45792</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45792</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45792</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45792</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45792</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45792</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45792</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45792</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45792</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45792</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45792</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45792</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45792</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45792</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45792</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45792</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45792</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45792</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45792</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45792</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45792</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45792</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45792</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45792</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45792</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45792</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45792</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45792</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45792</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45792</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45792</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45792</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45792</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45792</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45792</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45792</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45792</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45792</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45792</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45792</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45792</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45792</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45792</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45792</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45792</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45792</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45792</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45792</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45792</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45792</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45792</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45792</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45792</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45792</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45792</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45792</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45792</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45792</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45792</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45792</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45792</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45792</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45792</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45792</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45792</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45792</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45792</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45792</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45792</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45792</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45792</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45792</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45792</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45792</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45792</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45792</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45792</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45792</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45792</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45792</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45792</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45792</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45792</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45792</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45792</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45792</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45792</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45792</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45792</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45792</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45792</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45792</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45792</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45792</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45792</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45792</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45792</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45792</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45792</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45792</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45792</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45792</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45792</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45792</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45792</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45792</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45792</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45792</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45792</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45792</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45792</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45792</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45792</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45792</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45792</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45792</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45792</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45792</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45792</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45792</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45792</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45792</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45792</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45792</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45792</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45792</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45792</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45792</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45792</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45792</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45792</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45792</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45792</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45792</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45792</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45792</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45792</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45792</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45792</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45792</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45792</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45792</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45792</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45792</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45792</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45792</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45792</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45792</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45792</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45792</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45792</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45792</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45792</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45792</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45792</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45792</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45792</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45792</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45792</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45792</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45792</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45792</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45792</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45792</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45792</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45792</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45792</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45792</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45792</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45792</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45792</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45792</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45792</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45792</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45792</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45792</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45792</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45792</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45792</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45792</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45792</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45792</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45792</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45792</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45792</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45792</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45792</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45792</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45792</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45792</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45792</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45792</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45792</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45792</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45792</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45792</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45792</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45792</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45792</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45792</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45792</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45792</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45792</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45792</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45792</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45792</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45792</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45792</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45792</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45792</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45792</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45792</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45792</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45792</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45792</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45792</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45792</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45792</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45792</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45792</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45792</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45792</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45792</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45792</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45792</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45792</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45792</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45792</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45792</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45792</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45792</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45792</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45792</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45792</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45792</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45792</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45792</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45792</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45792</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45792</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45792</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45792</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45792</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45792</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45792</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45792</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45792</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45792</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45792</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45792</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45792</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45792</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45792</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45792</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45792</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45792</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45792</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45792</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45792</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45792</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45792</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45792</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45792</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45792</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45792</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45792</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45792</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45792</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45792</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45792</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45792</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45792</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45792</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45792</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45792</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45792</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45792</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45792</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45792</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45792</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45792</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45792</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45792</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45792</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45792</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45792</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45792</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45792</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45792</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45792</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45792</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45792</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45792</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45792</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45792</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45792</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45792</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45792</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45792</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45792</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45792</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45792</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45792</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45792</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45792</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45792</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45792</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45792</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45792</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45792</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45792</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45792</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45792</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45792</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45792</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45792</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45792</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45792</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45792</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45792</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45792</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45792</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45792</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45792</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45792</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45792</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45792</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45792</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45792</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45792</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45792</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45792</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45792</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45792</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45792</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45792</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45792</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45792</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45792</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45792</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45792</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45792</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45792</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45792</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45792</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45792</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45792</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45792</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45792</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45792</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45792</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45792</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45792</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45792</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45792</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45792</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45792</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45792</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45792</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45792</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45792</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45792</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45792</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45792</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45792</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45792</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45792</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45792</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45792</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45792</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45792</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45792</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45792</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45792</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45792</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45792</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45792</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45792</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45792</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45792</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45792</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45792</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45792</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45792</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45792</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45792</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45792</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45792</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45792</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45792</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45792</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45792</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45792</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45792</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45792</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45792</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45792</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45792</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45792</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45792</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45792</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45792</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45792</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45792</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45792</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45792</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45792</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45792</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45792</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45792</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45792</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45792</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45792</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45792</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45792</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45792</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45792</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45792</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45792</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45792</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45792</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45792</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45792</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45792</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45792</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45792</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45792</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45792</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45792</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45792</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45792</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45792</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45792</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45792</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45792</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45792</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45792</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45792</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45792</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45792</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45792</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45792</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45792</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45792</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45792</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45792</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45792</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45792</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45792</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45792</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45792</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45792</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45792</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45792</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45792</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45792</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45792</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45792</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45792</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45792</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45792</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45792</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45792</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45792</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45792</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45792</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45792</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45792</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45792</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45792</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45792</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45792</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45792</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45792</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45792</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45792</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45792</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45792</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45792</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45792</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45792</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45792</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45792</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45792</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45792</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45792</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45792</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45792</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45792</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45792</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45792</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45792</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45792</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45792</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45792</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45792</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45792</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45792</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45792</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45792</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45792</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45792</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45792</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45792</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45792</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45792</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45792</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45792</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45792</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45792</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45792</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45792</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45792</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45792</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45792</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45792</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45792</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45792</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45792</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45792</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45792</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45792</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45792</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45792</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45792</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45792</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45792</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45792</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45792</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45792</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45792</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45792</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45792</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45792</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45792</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45792</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45792</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45792</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45792</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45792</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45792</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45792</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45792</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45792</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45792</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45792</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45792</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45792</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45792</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45792</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45792</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45792</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45792</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45792</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45792</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45792</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45792</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45792</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45792</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45792</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45792</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45792</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45792</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45792</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45792</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45792</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45792</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45792</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45792</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45792</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45792</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45792</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45792</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45792</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45792</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45792</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45792</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45792</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45792</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45792</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45792</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45792</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45792</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45792</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45792</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45792</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45792</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45792</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45792</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45792</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45792</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45792</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45792</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45792</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45792</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45792</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45792</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45792</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45792</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45792</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45792</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45792</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45792</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45792</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45792</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45792</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45792</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45792</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45792</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45792</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45792</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45792</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45792</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45792</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45792</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45792</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45792</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45792</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45792</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45792</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45792</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45792</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45792</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45792</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45792</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45792</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45792</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45792</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45792</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45792</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45792</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45792</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45792</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45792</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45792</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45792</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45792</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45792</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45792</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45792</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45792</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45792</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45792</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45792</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45792</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45792</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45792</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45792</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45792</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45792</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45792</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45792</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45792</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45792</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45792</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45792</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45792</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45792</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45792</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45792</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45792</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45792</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45792</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45792</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45792</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45792</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45792</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45792</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45792</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45792</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45792</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45792</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45792</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45792</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45792</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45792</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45792</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45792</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45792</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45792</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45792</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45792</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45792</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45792</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45792</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45792</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45792</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45792</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45792</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45792</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45792</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45792</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45792</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45792</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45792</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45792</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45792</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45792</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45792</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45792</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45792</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45792</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45792</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45792</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45792</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45792</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45792</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45792</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45792</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45792</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45792</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45792</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45792</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45792</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45792</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45792</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45792</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45792</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45792</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45792</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45792</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45792</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45792</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45792</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45792</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45792</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45792</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45792</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45792</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45792</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45792</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45792</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45792</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45792</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45792</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45792</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45792</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45792</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45792</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45792</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45792</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45792</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45792</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45792</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45792</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45792</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45792</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45792</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45792</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45792</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45792</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45792</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45792</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45792</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45792</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45792</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45792</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45792</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45792</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45792</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45792</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45792</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45792</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45792</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45792</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45792</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45792</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45792</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45792</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45792</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45792</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45792</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45792</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45792</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45792</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45792</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45792</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45792</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45792</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45792</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45792</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45792</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45792</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45792</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45792</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45792</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45792</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45792</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45792</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45792</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45792</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45792</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45792</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45792</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45792</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45792</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45792</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45792</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45792</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45792</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45792</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45792</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45792</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45792</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45792</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45792</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45792</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45792</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45792</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45792</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45792</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45792</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45792</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45792</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45792</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45792</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45792</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45792</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45792</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45792</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45792</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45792</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45792</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45792</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45792</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45792</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45792</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45792</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45792</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45792</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45792</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45792</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45792</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45792</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45792</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45792</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45792</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45792</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45792</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45792</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45792</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45792</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45792</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45792</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45792</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45792</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45792</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45792</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45792</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45792</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45792</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45792</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45792</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45792</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45792</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45792</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45792</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45792</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45792</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45792</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45792</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45792</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45792</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45792</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45792</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45792</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45792</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45792</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45792</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45792</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45792</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45792</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45792</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45792</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45792</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45792</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45792</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45792</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45792</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45792</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45792</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45792</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45792</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45792</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45792</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45792</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45792</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45792</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45792</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45792</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45792</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45792</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45792</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45792</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45792</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45792</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45792</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45792</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45792</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45792</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45792</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45792</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45792</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45792</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45792</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45792</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45792</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45792</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45792</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45792</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45792</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45792</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45792</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45792</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45792</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45792</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45792</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45792</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45792</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45792</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45792</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45792</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45792</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45792</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45792</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45792</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45792</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45792</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45792</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45792</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45792</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45792</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45792</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45792</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45792</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45792</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45792</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45792</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45792</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45792</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45792</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45792</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45792</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45792</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45792</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45792</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45792</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45792</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45792</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45792</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45792</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45792</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45792</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45792</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45792</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45792</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45792</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45792</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45792</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45792</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45792</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45792</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45792</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45792</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45792</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45792</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45792</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45792</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45792</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45792</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45792</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45792</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45792</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45792</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45792</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45792</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45792</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45792</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45792</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45792</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45792</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45792</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45792</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45792</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45792</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45792</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45792</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45792</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45792</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45792</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45792</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45792</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45792</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45792</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45792</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45792</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45792</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45792</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45792</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45792</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45792</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45792</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45792</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45792</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45792</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45792</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45792</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45792</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45792</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45792</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45792</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45792</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45792</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45792</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45792</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45792</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45792</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45792</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45792</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45792</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45792</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45792</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45792</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45792</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45792</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45792</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45792</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45792</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45792</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45792</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45792</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45792</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45792</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45792</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45792</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45792</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45792</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45792</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45792</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45792</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45792</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45792</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45792</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45792</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45792</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45792</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45792</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45792</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45792</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45792</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45792</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45792</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45792</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45792</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45792</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45792</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45792</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45792</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45792</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45792</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45792</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45792</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45792</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45792</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45792</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45792</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45792</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45792</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45792</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45792</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45792</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45792</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45792</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45792</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45792</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45792</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45792</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45792</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45792</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45792</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45792</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45792</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45792</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45792</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45792</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45792</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45792</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45792</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45792</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45792</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45792</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45792</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45792</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45792</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45792</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45792</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45792</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45792</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45792</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45792</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45792</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45792</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45792</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45792</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45792</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45792</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45792</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45792</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45792</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45792</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45792</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45792</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45792</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45792</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45792</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45792</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45792</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45792</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45792</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45792</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45792</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45792</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45792</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45792</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45792</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45792</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45792</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45792</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45792</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45792</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45792</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45792</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45792</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45792</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45792</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45792</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45792</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45792</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45792</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45792</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45792</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45792</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45792</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45792</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45792</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45792</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45792</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45792</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45792</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45792</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45792</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45792</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45792</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45792</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45792</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45792</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45792</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45792</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45792</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45792</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45792</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45792</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45792</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45792</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45792</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45792</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45792</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45792</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45792</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45792</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45792</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45792</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45792</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45792</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45792</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45792</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45792</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45792</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45792</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45792</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45792</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45792</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45792</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45792</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45792</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45792</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45792</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45792</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45792</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45792</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45792</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45792</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45792</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45792</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45792</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45792</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45792</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45792</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45792</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45792</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45792</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45792</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45792</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45792</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45792</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45792</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45792</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45792</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45792</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45792</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45792</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45792</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45792</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45792</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45792</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45792</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45792</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45792</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45792</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45792</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45792</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45792</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45792</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45792</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45792</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45792</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45792</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45792</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45792</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45792</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45792</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45792</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45792</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45792</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45792</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45792</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45792</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45792</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45792</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45792</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45792</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45792</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45792</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45792</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45792</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45792</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45792</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45792</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45792</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45792</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45792</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45792</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45792</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45792</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45792</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45792</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45792</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45792</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45792</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45792</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45792</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45792</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45792</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45792</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45792</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45792</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45792</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45792</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45792</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45792</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45792</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45792</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45792</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45792</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45792</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45792</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45792</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45792</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45792</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45792</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45792</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45792</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45792</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45792</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45792</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45792</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45792</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45792</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45792</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45792</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45792</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45792</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45792</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45792</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45792</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45792</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45792</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45792</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45792</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45792</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45792</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45792</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45792</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45792</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45792</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45792</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45792</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45792</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45792</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45792</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45792</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45792</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45792</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45792</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45792</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45792</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45792</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45792</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45792</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45792</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45792</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45792</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45792</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45792</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45792</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45792</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45792</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45792</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45792</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45792</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45792</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45792</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45792</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45792</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45792</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45792</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45792</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45792</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45792</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45792</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45792</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45792</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45792</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45792</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45792</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45792</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45792</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45792</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45792</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45792</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45792</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45792</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45792</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45792</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45792</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45792</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45792</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45792</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45792</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45792</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45792</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45792</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45792</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45792</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45792</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45792</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45792</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45792</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45792</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45792</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45792</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45792</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45792</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45792</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45792</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45792</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45792</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45792</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45792</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45792</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45792</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45792</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45792</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45792</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45792</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45792</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45792</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45792</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45792</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45792</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45792</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45792</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45792</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45792</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45792</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45792</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45792</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45792</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45792</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45792</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45792</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45792</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45792</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45792</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45792</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45792</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45792</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45792</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45792</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45792</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45792</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45792</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45792</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45792</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45792</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45792</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45792</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45792</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45792</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45792</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45792</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45792</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45792</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45792</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45792</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45792</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45792</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45792</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45792</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45792</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45792</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45792</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45792</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45792</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45792</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45792</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45792</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45792</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45792</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45792</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45792</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45792</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45792</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45792</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45792</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45792</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45792</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45792</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45792</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45792</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45792</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45792</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45792</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45792</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45792</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45792</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45792</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45792</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45792</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45792</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45792</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45792</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45792</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45792</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45792</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45792</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45792</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45792</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45792</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45792</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45792</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45792</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45792</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45792</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45792</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45792</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45792</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45792</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45792</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45792</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45792</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45792</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45792</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45792</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45792</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45792</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45792</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45792</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45792</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45792</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45792</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45792</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45792</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45792</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45792</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45792</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45792</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45792</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45792</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45792</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45792</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45792</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45792</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45792</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45792</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45792</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45792</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45792</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45792</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45792</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45792</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45792</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45792</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45792</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45792</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45792</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45792</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45792</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45792</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45792</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45792</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45792</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45792</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45792</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45792</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45792</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45792</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45792</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45792</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45792</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45792</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45792</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45792</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45792</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45792</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45792</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45792</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45792</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45792</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45792</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45792</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45792</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45792</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45792</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45792</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45792</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45792</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45792</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45792</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45792</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45792</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45792</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45792</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45792</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45792</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45792</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45792</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45792</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45792</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45792</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45792</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45792</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45792</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45792</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45792</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45792</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45792</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45792</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45792</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45792</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45792</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45792</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45792</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45792</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45792</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45792</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45792</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45792</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45792</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45792</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45792</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45792</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45792</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45792</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45792</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45792</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45792</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45792</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45792</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45792</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45792</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45792</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45792</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45792</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45792</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45792</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45792</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45792</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45792</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45792</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45792</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45792</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45792</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45792</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45792</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45792</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45792</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45792</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45792</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45792</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45792</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45792</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45792</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45792</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45792</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45792</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45792</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45792</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45792</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45792</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45792</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45792</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45792</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45792</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45792</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45792</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45792</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45792</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45792</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45792</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45792</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45792</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45792</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45792</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45792</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45792</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45792</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45792</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45792</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45792</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45792</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45792</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45792</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45792</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45792</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45792</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45792</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45792</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45792</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45792</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45792</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45792</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45792</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45792</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45792</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45792</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45792</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45792</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45792</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45792</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45792</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45792</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45792</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45792</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45792</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45792</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45792</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45792</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45792</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45792</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45792</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45792</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45792</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45792</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45792</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45792</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45792</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45792</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45792</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45792</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45792</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45792</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45792</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45792</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45792</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45792</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45792</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45792</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45792</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45792</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45792</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45792</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45792</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45792</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45792</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45792</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45792</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45792</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45792</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45792</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45792</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45792</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45792</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45792</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45792</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45792</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45792</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45792</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45792</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45792</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45792</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45792</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45792</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45792</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45792</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45792</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45792</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45792</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45792</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45792</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45792</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45792</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45792</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45792</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45792</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45792</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45792</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45792</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45792</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45792</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45792</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45792</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45792</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45792</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45792</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45792</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45792</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45792</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45792</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45792</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45792</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45792</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45792</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45792</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45792</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45792</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45792</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45792</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45792</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45792</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45792</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45792</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45792</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45792</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45792</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45792</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45792</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45792</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45792</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45792</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45792</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45792</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45792</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45792</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45792</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45792</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45792</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45792</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45792</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45792</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45792</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45792</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45792</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45792</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45792</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45792</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45792</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45792</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45792</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45792</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45792</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45792</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45792</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45792</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45792</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45792</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45792</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45792</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45792</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45792</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45792</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45792</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45792</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45792</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45792</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45792</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45792</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45792</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45792</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45792</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45792</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45792</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45792</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45792</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45792</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45792</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45792</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45792</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45792</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45792</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45792</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45792</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45792</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45792</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45792</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45792</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45792</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45792</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45792</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45792</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45792</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45792</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45792</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45792</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45792</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45792</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45792</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45792</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45792</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45792</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45792</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45792</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45792</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45792</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45792</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45792</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45792</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45792</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45792</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45792</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45792</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45792</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45792</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45792</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45792</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45792</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45792</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45792</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45792</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45792</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45792</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45792</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45792</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45792</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45792</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45792</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45792</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45792</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45792</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45792</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45792</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45792</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45792</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45792</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45792</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45792</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45792</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45792</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45792</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45792</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45792</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45792</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45792</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45792</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45792</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45792</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45792</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45792</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45792</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45792</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45792</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45792</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45792</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45792</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45792</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45792</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45792</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45792</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45792</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45792</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45792</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45792</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45792</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45792</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45792</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45792</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45792</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45792</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45792</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45792</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45792</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45792</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45792</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45792</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45792</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45792</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45792</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45792</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45792</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45792</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45792</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45792</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45792</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45792</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45792</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45792</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45792</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45792</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45792</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45792</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45792</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45792</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45792</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45792</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45792</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45792</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45792</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45792</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45792</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45792</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45792</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45792</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45792</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45792</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45792</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45792</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45792</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45792</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45792</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45792</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45792</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45792</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45792</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45792</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45792</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45792</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45792</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45792</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45792</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45792</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45792</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45792</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45792</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45792</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45792</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45792</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45792</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45792</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45792</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45792</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45792</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45792</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45792</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45792</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45792</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45792</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45792</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45792</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45792</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45792</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45792</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45792</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45792</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45792</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45792</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45792</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45792</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45792</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45792</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45792</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45792</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45792</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45792</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45792</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45792</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45792</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45792</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45792</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45792</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45792</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45792</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45792</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45792</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45792</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45792</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45792</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45792</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45792</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45792</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45792</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45792</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45792</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45792</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45792</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45792</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45792</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45792</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45792</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45792</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45792</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45792</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45792</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45792</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45792</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45792</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45792</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45792</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45792</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45792</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45792</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45792</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45792</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45792</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45792</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45792</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45792</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45792</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45792</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45792</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45792</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45792</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45792</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45792</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45792</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45792</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45792</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45792</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45792</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45792</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45792</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45792</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45792</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45792</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45792</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45792</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45792</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45792</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45792</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45792</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45792</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45792</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45792</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45792</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45792</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45792</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45792</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45792</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45792</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45792</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45792</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45792</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45792</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45792</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45792</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45792</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45792</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45792</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45792</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45792</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45792</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45792</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45792</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45792</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45792</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45792</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45792</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45792</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45792</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45792</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45792</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45792</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45792</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45792</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45792</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45792</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45792</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45792</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45792</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45792</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45792</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45792</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45792</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45792</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45792</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45792</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45792</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45792</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45792</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45792</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45792</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45792</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45792</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45792</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45792</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45792</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45792</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45792</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45792</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45792</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45792</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45792</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45792</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45792</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45792</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45792</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45792</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45792</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45792</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45792</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45792</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45792</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45792</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45792</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45792</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45792</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45792</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45792</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45792</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45792</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45792</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45792</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45792</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45792</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45792</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45792</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45792</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45792</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45792</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45792</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45792</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45792</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45792</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45792</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45792</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45792</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45792</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45792</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45792</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45792</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45792</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45792</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45792</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45792</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45792</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45792</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45792</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45792</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45792</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45792</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45792</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45792</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45792</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45792</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45792</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45792</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45792</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45792</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45792</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45792</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45792</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45792</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45792</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45792</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45792</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45792</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45792</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45792</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45792</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45792</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45792</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45792</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45792</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45792</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45792</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45792</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45792</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45792</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45792</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45792</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45792</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45792</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45792</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45792</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45792</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45792</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45792</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45792</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45792</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45792</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45792</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45792</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45792</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45792</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45792</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45792</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45792</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45792</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45792</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45792</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45792</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45792</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45792</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45792</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45792</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45792</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45792</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45792</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45792</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45792</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45792</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45792</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45792</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45792</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45792</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45792</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45792</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45792</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45792</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45792</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45792</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45792</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45792</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45792</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45792</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45792</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45792</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45792</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45792</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45792</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45792</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45792</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45792</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45792</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45792</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45792</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45792</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45792</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45792</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45792</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45792</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45792</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45792</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45792</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45792</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45792</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45792</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45792</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45792</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45792</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45792</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45792</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45792</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45792</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45792</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45792</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45792</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45792</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45792</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45792</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45792</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45792</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45792</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45792</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45792</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45792</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45792</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45792</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45792</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45792</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45792</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45792</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45792</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45792</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45792</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45792</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45792</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45792</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45792</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45792</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45792</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45792</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45792</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45792</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45792</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45792</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45792</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45792</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45792</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45792</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45792</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45792</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45792</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45792</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45792</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45792</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45792</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45792</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45792</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45792</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45792</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45792</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45792</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45792</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45792</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45792</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45792</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45792</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45792</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45792</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45792</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45792</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45792</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45792</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45792</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45792</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45792</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45792</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45792</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45792</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45792</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45792</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45792</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45792</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45792</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45792</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45792</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45792</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45792</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45792</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45792</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45792</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45792</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45792</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45792</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45792</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45792</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45792</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45792</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45792</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45792</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45792</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45792</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45792</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45792</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45792</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45792</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45792</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45792</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45792</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45792</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45792</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45792</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45792</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45792</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45792</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45792</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45792</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45792</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45792</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45792</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45792</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45792</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45792</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45792</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45792</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45792</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45792</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45792</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45792</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45792</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45792</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45792</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45792</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45792</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45792</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45792</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45792</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45792</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45792</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45792</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45792</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45792</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45792</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45792</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45792</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45792</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45792</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45792</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45792</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45792</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45792</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45792</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45792</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45792</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45792</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45792</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45792</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45792</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45792</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45792</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45792</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45792</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45792</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45792</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45792</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45792</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45792</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45792</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45792</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45792</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45792</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45792</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45792</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45792</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45792</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45792</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45792</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45792</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45792</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45792</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45792</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45792</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45792</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45792</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45792</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45792</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45792</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45792</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45792</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45792</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45792</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45792</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45792</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45792</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45792</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45792</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45792</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45792</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45792</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45792</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45792</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45792</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45792</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45792</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45792</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45792</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45792</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45792</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45792</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45792</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45792</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45792</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45792</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45792</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45792</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45792</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45792</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45792</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45792</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45792</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45792</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45792</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45792</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45792</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45792</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45792</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45792</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45792</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45792</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45792</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45792</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45792</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45792</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45792</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45792</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45792</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45792</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45792</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45792</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45792</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45792</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45792</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45792</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45792</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45792</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45792</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45792</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45792</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45792</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45792</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45792</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45792</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45792</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45792</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45792</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45792</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45792</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45792</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45792</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45792</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45792</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45792</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45792</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45792</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45792</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45792</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45792</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45792</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45792</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45792</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45792</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45792</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45792</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45792</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45792</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45792</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45792</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45792</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45792</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45792</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45792</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45792</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45792</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45792</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45792</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45792</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45792</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45792</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45792</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45792</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45792</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45792</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45792</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45792</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45792</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45792</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45792</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45792</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45792</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45792</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45792</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45792</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45792</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45792</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45792</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45792</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45792</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45792</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45792</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45792</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45792</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45792</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45792</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45792</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45792</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45792</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45792</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45792</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45792</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45792</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45792</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45792</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45792</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45792</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45792</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45792</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45792</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45792</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45792</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45792</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45792</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45792</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45792</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45792</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45792</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45792</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45792</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45792</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45792</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45792</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45792</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45792</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45792</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45792</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45792</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45792</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45792</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45792</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45792</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45792</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45792</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45792</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45792</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45792</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45792</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45792</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45792</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45792</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45792</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45792</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45792</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45792</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45792</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45792</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45792</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45792</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45792</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45792</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45792</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45792</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45792</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45792</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45792</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45792</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45792</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45792</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45792</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45792</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45792</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45792</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45792</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45792</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45792</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45792</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45792</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45792</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45792</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45792</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45792</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45792</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45792</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45792</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45792</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45792</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45792</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45792</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45792</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45792</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45792</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45792</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45792</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45792</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45792</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45792</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45792</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45792</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45792</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45792</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45792</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45792</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45792</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45792</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45792</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45792</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45792</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45792</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45792</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45792</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45792</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45792</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45792</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45792</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45792</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45792</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45792</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45792</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45792</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45792</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45792</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45792</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45792</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45792</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45792</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45792</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45792</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45792</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45792</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45792</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45792</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45792</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45792</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45792</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45792</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45792</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45792</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45792</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45792</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45792</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45792</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45792</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45792</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45792</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45792</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45792</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45792</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45792</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45792</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45792</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45792</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45792</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45792</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45792</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45792</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45792</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45792</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45792</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45792</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45792</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45792</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45792</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45792</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45792</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45792</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45792</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45792</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45792</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45792</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45792</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45792</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45792</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45792</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45792</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45792</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45792</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45792</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45792</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45792</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45792</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45792</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45792</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45792</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45792</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45792</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45792</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45792</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45792</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45792</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45792</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45792</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45792</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45792</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45792</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45792</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45792</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45792</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45792</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45792</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45792</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45792</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45792</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45792</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45792</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45792</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45792</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45792</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45792</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45792</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45792</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45792</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45792</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45792</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45792</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45792</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45792</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45792</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45792</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45792</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45792</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45792</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45792</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45792</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45792</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45792</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45792</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45792</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45792</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45792</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45792</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45792</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45792</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45792</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45792</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45792</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45792</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45792</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45792</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45792</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45792</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45792</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45792</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45792</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45792</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45792</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45792</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45792</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45792</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45792</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45792</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45792</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45792</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45792</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45792</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45792</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45792</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45792</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45792</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45792</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45792</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45792</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45792</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45792</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45792</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45792</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45792</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45792</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45792</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45792</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45792</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45792</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45792</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45792</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45792</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45792</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45792</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45792</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45792</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45792</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45792</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45792</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45792</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45792</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45792</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45792</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45792</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45792</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45792</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45792</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45792</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45792</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45792</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45792</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45792</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45792</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45792</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45792</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45792</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45792</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45792</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45792</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45792</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45792</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45792</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45792</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45792</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45792</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45792</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45792</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45792</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45792</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45792</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45792</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45792</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45792</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45792</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45792</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45792</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45792</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45792</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45792</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45792</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45792</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45792</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45792</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45792</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45792</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45792</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45792</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45792</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45792</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45792</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45792</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45792</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45792</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45792</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45792</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45792</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45792</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45792</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45792</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45792</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45792</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45792</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45792</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45792</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45792</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45792</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45792</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45792</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45792</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45792</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45792</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45792</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45792</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45792</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45792</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45792</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45792</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45792</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45792</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45792</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45792</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45792</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45792</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45792</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45792</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45792</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45792</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45792</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45792</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45792</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45792</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45792</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45792</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45792</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45792</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45792</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45792</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45792</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45792</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45792</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45792</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45792</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45792</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45792</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45792</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45792</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45792</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45792</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45792</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45792</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45792</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45792</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45792</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45792</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45792</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45792</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45792</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45792</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45792</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45792</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45792</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45792</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45792</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45792</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45792</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45792</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45792</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45792</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45792</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45792</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45792</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45792</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45792</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45792</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45792</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45792</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45792</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45792</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45792</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45792</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45792</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45792</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45792</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45792</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45792</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45792</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45792</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45792</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45792</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45792</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45792</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45792</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45792</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45792</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45792</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45792</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45792</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45792</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45792</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45792</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45792</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45792</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45792</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45792</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45792</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45792</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45792</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45792</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45792</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45792</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45792</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45792</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45792</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45792</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45792</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45792</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45792</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45792</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45792</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45792</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45792</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45792</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45792</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45792</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45792</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45792</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45792</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45792</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45792</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45792</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45792</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45792</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45792</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45792</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45792</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45792</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45792</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45792</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45792</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45792</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45792</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45792</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45792</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45792</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45792</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45792</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45792</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45792</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45792</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45792</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45792</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45792</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45792</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45792</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45792</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45792</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45792</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45792</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45792</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45792</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45792</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45792</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45792</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45792</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45792</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45792</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45792</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45792</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45792</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45792</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45792</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45792</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45792</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45792</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45792</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45792</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45792</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45792</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45792</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45792</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45792</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45792</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45792</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45792</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45792</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45792</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45792</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45792</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45792</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45792</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45792</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45792</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45792</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45792</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45792</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45792</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45792</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45792</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45792</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45792</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45792</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45792</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45792</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45792</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45792</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45792</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45792</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45792</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45792</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45792</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45792</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45792</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45792</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45792</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45792</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45792</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45792</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45792</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45792</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45792</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45792</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45792</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45792</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45792</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45792</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45792</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45792</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45792</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45792</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45792</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45792</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45792</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45792</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45792</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45792</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45792</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45792</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45792</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45792</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45792</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45792</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45792</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45792</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45792</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45792</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45792</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45792</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45792</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45792</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45792</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45792</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45792</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45792</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45792</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45792</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45792</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45792</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45792</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45792</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45792</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45792</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45792</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45792</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45792</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45792</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45792</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45792</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45792</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45792</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45792</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45792</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45792</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45792</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45792</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45792</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45792</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45792</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45792</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45792</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45792</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45792</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45792</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45792</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45792</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45792</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45792</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45792</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45792</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45792</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45792</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45792</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45792</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45792</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45792</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45792</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45792</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45792</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45792</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45792</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45792</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45792</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45792</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45792</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45792</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45792</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45792</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45792</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45792</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45792</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45792</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45792</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45792</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45792</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45792</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45792</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45792</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45792</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45792</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45792</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45792</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45792</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45792</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45792</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45792</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45792</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45792</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45792</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45792</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45792</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45792</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45792</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45792</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45792</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45792</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45792</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45792</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45792</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45792</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45792</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45792</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45792</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45792</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45792</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45792</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45792</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45792</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45792</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45792</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45792</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45792</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45792</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45792</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45792</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45792</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45792</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45792</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45792</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45792</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45792</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45792</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45792</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45792</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45792</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45792</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45792</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45792</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45792</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45792</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45792</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45792</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45792</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45792</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45792</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45792</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45792</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45792</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45792</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45792</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45792</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45792</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45792</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45792</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45792</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45792</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45792</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45792</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45792</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45792</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45792</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45792</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45792</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45792</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45792</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45792</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45792</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45792</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45792</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45792</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45792</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45792</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45792</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45792</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45792</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45792</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45792</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45792</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45792</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45792</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45792</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45792</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45792</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45792</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45792</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45792</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45792</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45792</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45792</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45792</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45792</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45792</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45792</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45792</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45792</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45792</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45792</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45792</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45792</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45792</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45792</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45792</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45792</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45792</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45792</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45792</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45792</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45792</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45792</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45792</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45792</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45792</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45792</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45792</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45792</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45792</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45792</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45792</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45792</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45792</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45792</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45792</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45792</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45792</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45792</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45792</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45792</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45792</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45792</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45792</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45792</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45792</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45792</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45792</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45792</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45792</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45792</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45792</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45792</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45792</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45792</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45792</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45792</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45792</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45792</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45792</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45792</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45792</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45792</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45792</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45792</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45792</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45792</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45792</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45792</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45792</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45792</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45792</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45792</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45792</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45792</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45792</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45792</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45792</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45792</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45792</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45792</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45792</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45792</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45792</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45792</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45792</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45792</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45792</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45792</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45792</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45792</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45792</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45792</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45792</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45792</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45792</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45792</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45792</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45792</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45792</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45792</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45792</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45792</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45792</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45792</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45792</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45792</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45792</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45792</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45792</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45792</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45792</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45792</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45792</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45792</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45792</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45792</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45792</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45792</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45792</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45792</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45792</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45792</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45792</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45792</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45792</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45792</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45792</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45792</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45792</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45792</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45792</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45792</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45792</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45792</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45792</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45792</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45792</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45792</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45792</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45792</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45792</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45792</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45792</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45792</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45792</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45792</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45792</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45792</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45792</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45792</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45792</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45792</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45792</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45792</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45792</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45792</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45792</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45792</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45792</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45792</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45792</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45792</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45792</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45792</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45792</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45792</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45792</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45792</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45792</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45792</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45792</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45792</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45792</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45792</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45792</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45792</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45792</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45792</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45792</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45792</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45792</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45792</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45792</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45792</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45792</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45792</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45792</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45792</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45792</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45792</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45792</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45792</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45792</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45792</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45792</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45792</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45792</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45792</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45792</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45792</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45792</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45792</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45792</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45792</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45792</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45792</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45792</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45792</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45792</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45792</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45792</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45792</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45792</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45792</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45792</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45792</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45792</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45792</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45792</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45792</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45792</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45792</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45792</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45792</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45792</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45792</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45792</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45792</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45792</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45792</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45792</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45792</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45792</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45792</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45792</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45792</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45792</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45792</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45792</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45792</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45792</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45792</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45792</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45792</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45792</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45792</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45792</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45792</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45792</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45792</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45792</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45792</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45792</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45792</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45792</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45792</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45792</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45792</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45792</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45792</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45792</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45792</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45792</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45792</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45792</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45792</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45792</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45792</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45792</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45792</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45792</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45792</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45792</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45792</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45792</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45792</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45792</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45792</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45792</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45792</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45792</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45792</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45792</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45792</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45792</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45792</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45792</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45792</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45792</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45792</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45792</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45792</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45792</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45792</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45792</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45792</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45792</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45792</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45792</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45792</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45792</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45792</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45792</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45792</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45792</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45792</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45792</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45792</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45792</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45792</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45792</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45792</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45792</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45792</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45792</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45792</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45792</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45792</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45792</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45792</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45792</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45792</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45792</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45792</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45792</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45792</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45792</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45792</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45792</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45792</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45792</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45792</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45792</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45792</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45792</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45792</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45792</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45792</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45792</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45792</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45792</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45792</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45792</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45792</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45792</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45792</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45792</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45792</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45792</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45792</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45792</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45792</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45792</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45792</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45792</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45792</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45792</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45792</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45792</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45792</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45792</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45792</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45792</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45792</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45792</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45792</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45792</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45792</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45792</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45792</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45792</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45792</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45792</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45792</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45792</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45792</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45792</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45792</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45792</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45792</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45792</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45792</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45792</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45792</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45792</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45792</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45792</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45792</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45792</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45792</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45792</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45792</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45792</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45792</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45792</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45792</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45792</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45792</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45792</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45792</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45792</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45792</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45792</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45792</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45792</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45792</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45792</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45792</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45792</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45792</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45792</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45792</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45792</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45792</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45792</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45792</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45792</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45792</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45792</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45792</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45792</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45792</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45792</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45792</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45792</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45792</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45792</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45792</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45792</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45792</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45792</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45792</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45792</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45792</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45792</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45792</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45792</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45792</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45792</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45792</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45792</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45792</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45792</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45792</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45792</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45792</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45792</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45792</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45792</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45792</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45792</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45792</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45792</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45792</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45792</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45792</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45792</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45792</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45792</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45792</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45792</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45792</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45792</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45792</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45792</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45792</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45792</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45792</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45792</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45792</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45792</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45792</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45792</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45792</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45792</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45792</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45792</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45792</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45792</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45792</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45792</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45792</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45792</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45792</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45792</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45792</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45792</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45792</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45792</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45792</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45792</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45792</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45792</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45792</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45792</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45792</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45792</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45792</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45792</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45792</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45792</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45792</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45792</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45792</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45792</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45792</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45792</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45792</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45792</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45792</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45792</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45792</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45792</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45792</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45792</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45792</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45792</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45792</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45792</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45792</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45792</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45792</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45792</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45792</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45792</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45792</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45792</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45792</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45792</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45792</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45792</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45792</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45792</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45792</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45792</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45792</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45792</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45792</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45792</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45792</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45792</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45792</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45792</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45792</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45792</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45792</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45792</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45792</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45792</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45792</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45792</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45792</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45792</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45792</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45792</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45792</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45792</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45792</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45792</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45792</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45792</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45792</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45792</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45792</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45792</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45792</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45792</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45792</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45792</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45792</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45792</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45792</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45792</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45792</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45792</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45792</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45792</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45792</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45792</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45792</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45792</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45792</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45792</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45792</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45792</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45792</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45792</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45792</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45792</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45792</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45792</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45792</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45792</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45792</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45792</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45792</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45792</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45792</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45792</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45792</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45792</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45792</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45792</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45792</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45792</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45792</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45792</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45792</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45792</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45792</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45792</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45792</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45792</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45792</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45792</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45792</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45792</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45792</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45792</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45792</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45792</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45792</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45792</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45792</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45792</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45792</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45792</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45792</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45792</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45792</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45792</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45792</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45792</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45792</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45792</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45792</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45792</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45792</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45792</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45792</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45792</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45792</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45792</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45792</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45792</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45792</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45792</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45792</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45792</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45792</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45792</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45792</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45792</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45792</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45792</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45792</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45792</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45792</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45792</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45792</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45792</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45792</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45792</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45792</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45792</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45792</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45792</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45792</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45792</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45792</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45792</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45792</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45792</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45792</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45792</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45792</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45792</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45792</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45792</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45792</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45792</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45792</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45792</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45792</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45792</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45792</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45792</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45792</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45792</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45792</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45792</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45792</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45792</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45792</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45792</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45792</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45792</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45792</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45792</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45792</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45792</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45792</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45792</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45792</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45792</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45792</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45792</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45792</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45792</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45792</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45792</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45792</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45792</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45792</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45792</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45792</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45792</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45792</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45792</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45792</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45792</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45792</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45792</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45792</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45792</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45792</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45792</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45792</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45792</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45792</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45792</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45792</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45792</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45792</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45792</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45792</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45792</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45792</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45792</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45792</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45792</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45792</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45792</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45792</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45792</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45792</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45792</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45792</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45792</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45792</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45792</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45792</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45792</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45792</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45792</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45792</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45792</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45792</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45792</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45792</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45792</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45792</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45792</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45792</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45792</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45792</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45792</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45792</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45792</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45792</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45792</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45792</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45792</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45792</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45792</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45792</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45792</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45792</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45792</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45792</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45792</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45792</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45792</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45792</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45792</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45792</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45792</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45792</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45792</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45792</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45792</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45792</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45792</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45792</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45792</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45792</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45792</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45792</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45792</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45792</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45792</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45792</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45792</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45792</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45792</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45792</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45792</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45792</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45792</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45792</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45792</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45792</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45792</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45792</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45792</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45792</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45792</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45792</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45792</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45792</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45792</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45792</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45792</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45792</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45792</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45792</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45792</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45792</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45792</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45792</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45792</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45792</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45792</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45792</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45792</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45792</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45792</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45792</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45792</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45792</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45792</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45792</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45792</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45792</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45792</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45792</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45792</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45792</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45792</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45792</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45792</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45792</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45792</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45792</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45792</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45792</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45792</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45792</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45792</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45792</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45792</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45792</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45792</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45792</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45792</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45792</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45792</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45792</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45792</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45792</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45792</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45792</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45792</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45792</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45792</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45792</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45792</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45792</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45792</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45792</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45792</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45792</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45792</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45792</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45792</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45792</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45792</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45792</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45792</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45792</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45792</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45792</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45792</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45792</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45792</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45792</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45792</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45792</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45792</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45792</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45792</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45792</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45792</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45792</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45792</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45792</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45792</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45792</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45792</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45792</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45792</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45792</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45792</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45792</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45792</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45792</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45792</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45792</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45792</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45792</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45792</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45792</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45792</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45792</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45792</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45792</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45792</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45792</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45792</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45792</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45792</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45792</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45792</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45792</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45792</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45792</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45792</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45792</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45792</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45792</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45792</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45792</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45792</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45792</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45792</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45792</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45792</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45792</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45792</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45792</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45792</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45792</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45792</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45792</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45792</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45792</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45792</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45792</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45792</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45792</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45792</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45792</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45792</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45792</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45792</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45792</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45792</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45792</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45792</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45792</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45792</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45792</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45792</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45792</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45792</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45792</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45792</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45792</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45792</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45792</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45792</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45792</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45792</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45792</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45792</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45792</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45792</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45792</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45792</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45792</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45792</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45792</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45792</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45792</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45792</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45792</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45792</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45792</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45792</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45792</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45792</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45792</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45792</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45792</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45792</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45792</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45792</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45792</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45792</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45792</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45792</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45792</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45792</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45792</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45792</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45792</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45792</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45792</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45792</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45792</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45792</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45792</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45792</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45792</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45792</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45792</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45792</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45792</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45792</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45792</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45792</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45792</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45792</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45792</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45792</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45792</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45792</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45792</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45792</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45792</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45792</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45792</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45792</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45792</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45792</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45792</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45792</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45792</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45792</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45792</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45792</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45792</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45792</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45792</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45792</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45792</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45792</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45792</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45792</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45792</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45792</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45792</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45792</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45792</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45792</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45792</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45792</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45792</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45792</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45792</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45792</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45792</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45792</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45792</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45792</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45792</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45792</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45792</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45792</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45792</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45792</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45792</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45792</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45792</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45792</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45792</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45792</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45792</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45792</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45792</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45792</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45792</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45792</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45792</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45792</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45792</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45792</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45792</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45792</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45792</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45792</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45792</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45792</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45792</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45792</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45792</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45792</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45792</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45792</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45792</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45792</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45792</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45792</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45792</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45792</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45792</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45792</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45792</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45792</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45792</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45792</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45792</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45792</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45792</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45792</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45792</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45792</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45792</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45792</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45792</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45792</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45792</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45792</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45792</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45792</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45792</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45792</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45792</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45792</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45792</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45792</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45792</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45792</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45792</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45792</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45792</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45792</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45792</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45792</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45792</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45792</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45792</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45792</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45792</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45792</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45792</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45792</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45792</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45792</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45792</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45792</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45792</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45792</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45792</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45792</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45792</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45792</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45792</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45792</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45792</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45792</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45792</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45792</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45792</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45792</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45792</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45792</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45792</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45792</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45792</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45792</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45792</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45792</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45792</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45792</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45792</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45792</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45792</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45792</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45792</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45792</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45792</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45792</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45792</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45792</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45792</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45792</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45792</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45792</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45792</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45792</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45792</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45792</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45792</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45792</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45792</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45792</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45792</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45792</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45792</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45792</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45792</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45792</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45792</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45792</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45792</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45792</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45792</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45792</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45792</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45792</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45792</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45792</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45792</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45792</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45792</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45792</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45792</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45792</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45792</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45792</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45792</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45792</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45792</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45792</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45792</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45792</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45792</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45792</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45792</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45792</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45792</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45792</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45792</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45792</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45792</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45792</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45792</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45792</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45792</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45792</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45792</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45792</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45792</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45792</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45792</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45792</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45792</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45792</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45792</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45792</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45792</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45792</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45792</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45792</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45792</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45792</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45792</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45792</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45792</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45792</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45792</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45792</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45792</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45792</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45792</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45792</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45792</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45792</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45792</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45792</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45792</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45792</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45792</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45792</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45792</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45792</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45792</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45792</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45792</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45792</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45792</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45792</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45792</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45792</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45792</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45792</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45792</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45792</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45792</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45792</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45792</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45792</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45792</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45792</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45792</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45792</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45792</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45792</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45792</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45792</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45792</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45792</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45792</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45792</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45792</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45792</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45792</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45792</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45792</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45792</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45792</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45792</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45792</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45792</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45792</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45792</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45792</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45792</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45792</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45792</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45792</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45792</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45792</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45792</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45792</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45792</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45792</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45792</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45792</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45792</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45792</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45792</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45792</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45792</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45792</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45792</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45792</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45792</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45792</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45792</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45792</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45792</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45792</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45792</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45792</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45792</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45792</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45792</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45792</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45792</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45792</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45792</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45792</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45792</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45792</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45792</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45792</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45792</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45792</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45792</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45792</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45792</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45792</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45792</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45792</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45792</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45792</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45792</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45792</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45792</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45792</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45792</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45792</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45792</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45792</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45792</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45792</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45792</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45792</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45792</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45792</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45792</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45792</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45792</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45792</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45792</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45792</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45792</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45792</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45792</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45792</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45792</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45792</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45792</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45792</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45792</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45792</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45792</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45792</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45792</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45792</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45792</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45792</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45792</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45792</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45792</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45792</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45792</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45792</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45792</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45792</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45792</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45792</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45792</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45792</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45792</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45792</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45792</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45792</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45792</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45792</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45792</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45792</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45792</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45792</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45792</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45792</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45792</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45792</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45792</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45792</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45792</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45792</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45792</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45792</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45792</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45792</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45792</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45792</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45792</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45792</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45792</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45792</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45792</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45792</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45792</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45792</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45792</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45792</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45792</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45792</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45792</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45792</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45792</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45792</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45792</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45792</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45792</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45792</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45792</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45792</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45792</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45792</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45792</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45792</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45792</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45792</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45792</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45792</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45792</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45792</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45792</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45792</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45792</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45792</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45792</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45792</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45792</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45792</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45792</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45792</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45792</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45792</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45792</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45792</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45792</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45792</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45792</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45792</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45792</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45792</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45792</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45792</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45792</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45792</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45792</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45792</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45792</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45792</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45792</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45792</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45792</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45792</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45792</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45792</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45792</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45792</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45792</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45792</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45792</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45792</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45792</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45792</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45792</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45792</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45792</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45792</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45792</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45792</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45792</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45792</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45792</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45792</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45792</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45792</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45792</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45792</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45792</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45792</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45792</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45792</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45792</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45792</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45792</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45792</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45792</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45792</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45792</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45792</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45792</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45792</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45792</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45792</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45792</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45792</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45792</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45792</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45792</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45792</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45792</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45792</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45792</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45792</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45792</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45792</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45792</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45792</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45792</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45792</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45792</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45792</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45792</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45792</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45792</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45792</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45792</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45792</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45792</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45792</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45792</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45792</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45792</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45792</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45792</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45792</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45792</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45792</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45792</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45792</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45792</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45792</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45792</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45792</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45792</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45792</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45792</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45792</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45792</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45792</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45792</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45792</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45792</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45792</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45792</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45792</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45792</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45792</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45792</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45792</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45792</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45792</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45792</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45792</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45792</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45792</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45792</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45792</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45792</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45792</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45792</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45792</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45792</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45792</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45792</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45792</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45792</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45792</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45792</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45792</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45792</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45792</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45792</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45792</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45792</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45792</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45792</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45792</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45792</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45792</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45792</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45792</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45792</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45792</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45792</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45792</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45792</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45792</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45792</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45792</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45792</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45792</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45792</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45792</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45792</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45792</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45792</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45792</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45792</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45792</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45792</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45792</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45792</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45792</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45792</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45792</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45792</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45792</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45792</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45792</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45792</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45792</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45792</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45792</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45792</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45792</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45792</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45792</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45792</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45792</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45792</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45792</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45792</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45792</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45792</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45792</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45792</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45792</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45792</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45792</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45792</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45792</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45792</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45792</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45792</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45792</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45792</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45792</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45792</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45792</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45792</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45792</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45792</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45792</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45792</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45792</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45792</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45792</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45792</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45792</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45792</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45792</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45792</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45792</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45792</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45792</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45792</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45792</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45792</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45792</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45792</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45792</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45792</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45792</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45792</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45792</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45792</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45792</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45792</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45792</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45792</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45792</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45792</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45792</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45792</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45792</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45792</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45792</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45792</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45792</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45792</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45792</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45792</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45792</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45792</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45792</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45792</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45792</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45792</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45792</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45792</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45792</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45792</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45792</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45792</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45792</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45792</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45792</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45792</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45792</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45792</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45792</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45792</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45792</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45792</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45792</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45792</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45792</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45792</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45792</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45792</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45792</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45792</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45792</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45792</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45792</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45792</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45792</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45792</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45792</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45792</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45792</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45792</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45792</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45792</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45792</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45792</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45792</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45792</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45792</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45792</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45792</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45792</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45792</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45792</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45792</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45792</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45792</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45792</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45792</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45792</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45792</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45792</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45792</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45792</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45792</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45792</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45792</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45792</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45792</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45792</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45792</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45792</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45792</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45792</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45792</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45792</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45792</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45792</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45792</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45792</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45792</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45792</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45792</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45792</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45792</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45792</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45792</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45792</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45792</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45792</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45792</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45792</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45792</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45792</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45792</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45792</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45792</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45792</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45792</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45792</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45792</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45792</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45792</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45792</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45792</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45792</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45792</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45792</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45792</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45792</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45792</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45792</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45792</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45792</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45792</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45792</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45792</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45792</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45792</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45792</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45792</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45792</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45792</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45792</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45792</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45792</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45792</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45792</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45792</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45792</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45792</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45792</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45792</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45792</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45792</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45792</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45792</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45792</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45792</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45792</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45792</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45792</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45792</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45792</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45792</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45792</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45792</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45792</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45792</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45792</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45792</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45792</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45792</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45792</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45792</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45792</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45792</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45792</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45792</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45792</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45792</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45792</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45792</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45792</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45792</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45792</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45792</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45792</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45792</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45792</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45792</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45792</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45792</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45792</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45792</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45792</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45792</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45792</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45792</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45792</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45792</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45792</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45792</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45792</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45792</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45792</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45792</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45792</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45792</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45792</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45792</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45792</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45792</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45792</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45792</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45792</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45792</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45792</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45792</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45792</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45792</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45792</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45792</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45792</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45792</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45792</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45792</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45792</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45792</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45792</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45792</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45792</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45792</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45792</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45792</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45792</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45792</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45792</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45792</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45792</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45792</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45792</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45792</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45792</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45792</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45792</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45792</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45792</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45792</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45792</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45792</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45792</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45792</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45792</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45792</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45792</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45792</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45792</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45792</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45792</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45792</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45792</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45792</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45792</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45792</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45792</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45792</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45792</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45792</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45792</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45792</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45792</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45792</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45792</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45792</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45792</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45792</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45792</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45792</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45792</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45792</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45792</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45792</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45792</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45792</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45792</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45792</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45792</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45792</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45792</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45792</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45792</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45792</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45792</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45792</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45792</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45792</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45792</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45792</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45792</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45792</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45792</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45792</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45792</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45792</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45792</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45792</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45792</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45792</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45792</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45792</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45792</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45792</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45792</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45792</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45792</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45792</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45792</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45792</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45792</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45792</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45792</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45792</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45792</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45792</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45792</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45792</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45792</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45792</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45792</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45792</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45792</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45792</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45792</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45792</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45792</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45792</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45792</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45792</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45792</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45792</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45792</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45792</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45792</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45792</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45792</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45792</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45792</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45792</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45792</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45792</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45792</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45792</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45792</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45792</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45792</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45792</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45792</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45792</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45792</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45792</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45792</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45792</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45792</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45792</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45792</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45792</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45792</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45792</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45792</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45792</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45792</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45792</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45792</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45792</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45792</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45792</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45792</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45792</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45792</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45792</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45792</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45792</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45792</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45792</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45792</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45792</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45792</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45792</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45792</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45792</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45792</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45792</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45792</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45792</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45792</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45792</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45792</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45792</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45792</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45792</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45792</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45792</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45792</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45792</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45792</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45792</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45792</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45792</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45792</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45792</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45792</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45792</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45792</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45792</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45792</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45792</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45792</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45792</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45792</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45792</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45792</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45792</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45792</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45792</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45792</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45792</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45792</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45792</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45792</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45792</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45792</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45792</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45792</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45792</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45792</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45792</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45792</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45792</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45792</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45792</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45792</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45792</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45792</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45792</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45792</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45792</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45792</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45792</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45792</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45792</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45792</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45792</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45792</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45792</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45792</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45792</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45792</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45792</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45792</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45792</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45792</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45792</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45792</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45792</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45792</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45792</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45792</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45792</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45792</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45792</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45792</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45792</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45792</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45792</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45792</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45792</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45792</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45792</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45792</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45792</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45792</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45792</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45792</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45792</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45792</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45792</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45792</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45792</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45792</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45792</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45792</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45792</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45792</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45792</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45792</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45792</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45792</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45792</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45792</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45792</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45792</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45792</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45792</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45792</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45792</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45792</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45792</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45792</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45792</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45792</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45792</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45792</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45792</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45792</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45792</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45792</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45792</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45792</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45792</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45792</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45792</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45792</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45792</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45792</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45792</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45792</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45792</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45792</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45792</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45792</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45792</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45792</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45792</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45792</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45792</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45792</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45792</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45792</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45792</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45792</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45792</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45792</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45792</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45792</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45792</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45792</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45792</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45792</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45792</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45792</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45792</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45792</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45792</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45792</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45792</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45792</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45792</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45792</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45792</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45792</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45792</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45792</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45792</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45792</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45792</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45792</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45792</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45792</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45792</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45792</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45792</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45792</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45792</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45792</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45792</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45792</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45792</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45792</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45792</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45792</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45792</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45792</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45792</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45792</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45792</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45792</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45792</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45792</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45792</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45792</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45792</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45792</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45792</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45792</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45792</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45792</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45792</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45792</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45792</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45792</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45792</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45792</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45792</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45792</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45792</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45792</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45792</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45792</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45792</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45792</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45792</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45792</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45792</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45792</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45792</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45792</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45792</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45792</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45792</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45792</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45792</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45792</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45792</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45792</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45792</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45792</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45792</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45792</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45792</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45792</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45792</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45792</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45792</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45792</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45792</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45792</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45792</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45792</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45792</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45792</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45792</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45792</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45792</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45792</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45792</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45792</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45792</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45792</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45792</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45792</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45792</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45792</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45792</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45792</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45792</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45792</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45792</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45792</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45792</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45792</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45792</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45792</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45792</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45792</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45792</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45792</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45792</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45792</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45792</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45792</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45792</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45792</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45792</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45792</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45792</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45792</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45792</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45792</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45792</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45792</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45792</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45792</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45792</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45792</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45792</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45792</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45792</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45792</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45792</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45792</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45792</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45792</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45792</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45792</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45792</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45792</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45792</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45792</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45792</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45792</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45792</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45792</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45792</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45792</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45792</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45792</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45792</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45792</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45792</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45792</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45792</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45792</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45792</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45792</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45792</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45792</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45792</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45792</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45792</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45792</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45792</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45792</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45792</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45792</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45792</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45792</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45792</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45792</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45792</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45792</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45792</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45792</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45792</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45792</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45792</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45792</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45792</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45792</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45792</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45792</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45792</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45792</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45792</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45792</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45792</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45792</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45792</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45792</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45792</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45792</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45792</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45792</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45792</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45792</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45792</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45792</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45792</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45792</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45792</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45792</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45792</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45792</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45792</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45792</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45792</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45792</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45792</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45792</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45792</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45792</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45792</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45792</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45792</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45792</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45792</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45792</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45792</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45792</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45792</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45792</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45792</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45792</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45792</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45792</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45792</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45792</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45792</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45792</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45792</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45792</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45792</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45792</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45792</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45792</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45792</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45792</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45792</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45792</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45792</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45792</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45792</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45792</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45792</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45792</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45792</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45792</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45792</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45792</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45792</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45792</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45792</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45792</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45792</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45792</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45792</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45792</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45792</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45792</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45792</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45792</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45792</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45792</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45792</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45792</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45792</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45792</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45792</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45792</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45792</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45792</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45792</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45792</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45792</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45792</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45792</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45792</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45792</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45792</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45792</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45792</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45792</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45792</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45792</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45792</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45792</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45792</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45792</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45792</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45792</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45792</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45792</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45792</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45792</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45792</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45792</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45792</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45792</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45792</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45792</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45792</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45792</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45792</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45792</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45792</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45792</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45792</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45792</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45792</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45792</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45792</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45792</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45792</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45792</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45792</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45792</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45792</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45792</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45792</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45792</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45792</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45792</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45792</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45792</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45792</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45792</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45792</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45792</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45792</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45792</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45792</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45792</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45792</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45792</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45792</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45792</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45792</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45792</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45792</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45792</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45792</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45792</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45792</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45792</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45792</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45792</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45792</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45792</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45792</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45792</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45792</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45792</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45792</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45792</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45792</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45792</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45792</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45792</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45792</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45792</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45792</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45792</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45792</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45792</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45792</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45792</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45792</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45792</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45792</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45792</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45792</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45792</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45792</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45792</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45792</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45792</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45792</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45792</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45792</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45792</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45792</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45792</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45792</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45792</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45792</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45792</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45792</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45792</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45792</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45792</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45792</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45792</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45792</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45792</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45792</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45792</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45792</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45792</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45792</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45792</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45792</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45792</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45792</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45792</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45792</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45792</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45792</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45792</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45792</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45792</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45792</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45792</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45792</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45792</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45792</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45792</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45792</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45792</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45792</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45792</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45792</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45792</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45792</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45792</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45792</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45792</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45792</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45792</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45792</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45792</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45792</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45792</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45792</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45792</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45792</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45792</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45792</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45792</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45792</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45792</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45792</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45792</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45792</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45792</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45792</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45792</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45792</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45792</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45792</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45792</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45792</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45792</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45792</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45792</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45792</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45792</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45792</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45792</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45792</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45792</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45792</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45792</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45792</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45792</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45792</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45792</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45792</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45792</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45792</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45792</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45792</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45792</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45792</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45792</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45792</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45792</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45792</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45792</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45792</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45792</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45792</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45792</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45792</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45792</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45792</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45792</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45792</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45792</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45792</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45792</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45792</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45792</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45792</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45792</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45792</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45792</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45792</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45792</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45792</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45792</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45792</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45792</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45792</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45792</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45792</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45792</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45792</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45792</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45792</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45792</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45792</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45792</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45792</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45792</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45792</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45792</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45792</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45792</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45792</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45792</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45792</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45792</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45792</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45792</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45792</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45792</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45792</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45792</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45792</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45792</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45792</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45792</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45792</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45792</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45792</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45792</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45792</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45792</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45792</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45792</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45792</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45792</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45792</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45792</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45792</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45792</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45792</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45792</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45792</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45792</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45792</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45792</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45792</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45792</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45792</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45792</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45792</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45792</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45792</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45792</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45792</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45792</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45792</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45792</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45792</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45792</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45792</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45792</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45792</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45792</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45792</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45792</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45792</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45792</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45792</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45792</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45792</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45792</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45792</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45792</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45792</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45792</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45792</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45792</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45792</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45792</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45792</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45792</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45792</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45792</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45792</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45792</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45792</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45792</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45792</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45792</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45792</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45792</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45792</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45792</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45792</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45792</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45792</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45792</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45792</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45792</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45792</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45792</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45792</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45792</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45792</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45792</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45792</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45792</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45792</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45792</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45792</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45792</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45792</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45792</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45792</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45792</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45792</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45792</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45792</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45792</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45792</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45792</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45792</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45792</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45792</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45792</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45792</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45792</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45792</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45792</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45792</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45792</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45792</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45792</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45792</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45792</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45792</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45792</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45792</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45792</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45792</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45792</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45792</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45792</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45792</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45792</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45792</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45792</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45792</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45792</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45792</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45792</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45792</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45792</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45792</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45792</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45792</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45792</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45792</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45792</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45792</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45792</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45792</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45792</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45792</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45792</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45792</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45792</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45792</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45792</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45792</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45792</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45792</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45792</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45792</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45792</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45792</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45792</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45792</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45792</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45792</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45792</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45792</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45792</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45792</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45792</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45792</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45792</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45792</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45792</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45792</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45792</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45792</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45792</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45792</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45792</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45792</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45792</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45792</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45792</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45792</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45792</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45792</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45792</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45792</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45792</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45792</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45792</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45792</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45792</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45792</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45792</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45792</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45792</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45792</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45792</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45792</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45792</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45792</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45792</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45792</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45792</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45792</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45792</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45792</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45792</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45792</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45792</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45792</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45792</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45792</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45792</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45792</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45792</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45792</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45792</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45792</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45792</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45792</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45792</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45792</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45792</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45792</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45792</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45792</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45792</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45792</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45792</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45792</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45792</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45792</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45792</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45792</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45792</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45792</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45792</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45792</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45792</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45792</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45792</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45792</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45792</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45792</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45792</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45792</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45792</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45792</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45792</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45792</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45792</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45792</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45792</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45792</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45792</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45792</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45792</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45792</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45792</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45792</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45792</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45792</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45792</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45792</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45792</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45792</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45792</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45792</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45792</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45792</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45792</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45792</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45792</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45792</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45792</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45792</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45792</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45792</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45792</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45792</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45792</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45792</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45792</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45792</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45792</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45792</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45792</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45792</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45792</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45792</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45792</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45792</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45792</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45792</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45792</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45792</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45792</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45792</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45792</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45792</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45792</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45792</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45792</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45792</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45792</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45792</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45792</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45792</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45792</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45792</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45792</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45792</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45792</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45792</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45792</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45792</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45792</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45792</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45792</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45792</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45792</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45792</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45792</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45792</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45792</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45792</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45792</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45792</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45792</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45792</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45792</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45792</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45792</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45792</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45792</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45792</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45792</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45792</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45792</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45792</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45792</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45792</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45792</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45792</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45792</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45792</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45792</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45792</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45792</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45792</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45792</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45792</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45792</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45792</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45792</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45792</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45792</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45792</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45792</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45792</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45792</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45792</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45792</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45792</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45792</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45792</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45792</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45792</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45792</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45792</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45792</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45792</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45792</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45792</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45792</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45792</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45792</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45792</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45792</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45792</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45792</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45792</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45792</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45792</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45792</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45792</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45792</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45792</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45792</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45792</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45792</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45792</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45792</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45792</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45792</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45792</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45792</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45792</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45792</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45792</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45792</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45792</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45792</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45792</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45792</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45792</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45792</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45792</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45792</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45792</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45792</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45792</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45792</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45792</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45792</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45792</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45792</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45792</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45792</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45792</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45792</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45792</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45792</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45792</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45792</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45792</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45792</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45792</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45792</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45792</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45792</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45792</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45792</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45792</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45792</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45792</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45792</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45792</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45792</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45792</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45792</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45792</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45792</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45792</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45792</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45792</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45792</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45792</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45792</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45792</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45792</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45792</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45792</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45792</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45792</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45792</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45792</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45792</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45792</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45792</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45792</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45792</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45792</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45792</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45792</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45792</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45792</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45792</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45792</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45792</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45792</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45792</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45792</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45792</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45792</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45792</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45792</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45792</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45792</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45792</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45792</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45792</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45792</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45792</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45792</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45792</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45792</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45792</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45792</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45792</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45792</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45792</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45792</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45792</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45792</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45792</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45792</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45792</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45792</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45792</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45792</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45792</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45792</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45792</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45792</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45792</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45792</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45792</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45792</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45792</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45792</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45792</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45792</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45792</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45792</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45792</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45792</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45792</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45792</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45792</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45792</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45792</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45792</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45792</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45792</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45792</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45792</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45792</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45792</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45792</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45792</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45792</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45792</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45792</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45792</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45792</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45792</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45792</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45792</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45792</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45792</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45792</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45792</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45792</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45792</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45792</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45792</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45792</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45792</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45792</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45792</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45792</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45792</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45792</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45792</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45792</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45792</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45792</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45792</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45792</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45792</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45792</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45792</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45792</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45792</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45792</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45792</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45792</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45792</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45792</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45792</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45792</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45792</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45792</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45792</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45792</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45792</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45792</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45792</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45792</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45792</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45792</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45792</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45792</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45792</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45792</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45792</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45792</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45792</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45792</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45792</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45792</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45792</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45792</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45792</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45792</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45792</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45792</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45792</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45792</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45792</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45792</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45792</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45792</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45792</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45792</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45792</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45792</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45792</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45792</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45792</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45792</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45792</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45792</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45792</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45792</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45792</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45792</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45792</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45792</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45792</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45792</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45792</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45792</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45792</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45792</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45792</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45792</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45792</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45792</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45792</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45792</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45792</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45792</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45792</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45792</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45792</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45792</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45792</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45792</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45792</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45792</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45792</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45792</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45792</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45792</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45792</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45792</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45792</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45792</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45792</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45792</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45792</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45792</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45792</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45792</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45792</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45792</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45792</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45792</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45792</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45792</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45792</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45792</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45792</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45792</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45792</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45792</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45792</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45792</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45792</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45792</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45792</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45792</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45792</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45792</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45792</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45792</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45792</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45792</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45792</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45792</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45792</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45792</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45792</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45792</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45792</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45792</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45792</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45792</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45792</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45792</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45792</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45792</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45792</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45792</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45792</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45792</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45792</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45792</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45792</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45792</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45792</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45792</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45792</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45792</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45792</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45792</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45792</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45792</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45792</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45792</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45792</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45792</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45792</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45792</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45792</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45792</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45792</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45792</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45792</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45792</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45792</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45792</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45792</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45792</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45792</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45792</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45792</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45792</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45792</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45792</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45792</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45792</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45792</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45792</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45792</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45792</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45792</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45792</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45792</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45792</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45792</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45792</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45792</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45792</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45792</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45792</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45792</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45792</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45792</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45792</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45792</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45792</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45792</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45792</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45792</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45792</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45792</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45792</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45792</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45792</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45792</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45792</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45792</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45792</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45792</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45792</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45792</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45792</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45792</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45792</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45792</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45792</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45792</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45792</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45792</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45792</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45792</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45792</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45792</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45792</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45792</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45792</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45792</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45792</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45792</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45792</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45792</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45792</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45792</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45792</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45792</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45792</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45792</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45792</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45792</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45792</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45792</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45792</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45792</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45792</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45792</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45792</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45792</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45792</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45792</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45792</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45792</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45792</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45792</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45792</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45792</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45792</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45792</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45792</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45792</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45792</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45792</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45792</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45792</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45792</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45792</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45792</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45792</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45792</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45792</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45792</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45792</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45792</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45792</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45792</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45792</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45792</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45792</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45792</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45792</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45792</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45792</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45792</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45792</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45792</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45792</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45792</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45792</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45792</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45792</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45792</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45792</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45792</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45792</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45792</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45792</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45792</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45792</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45792</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45792</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45792</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45792</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45792</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45792</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45792</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45792</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45792</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45792</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45792</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45792</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45792</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45792</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45792</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45792</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45792</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45792</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45792</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45792</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45792</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45792</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45792</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45792</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45792</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45792</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45792</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45792</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45792</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45792</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45792</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45792</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45792</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45792</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45792</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45792</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45792</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45792</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45792</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45792</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45792</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45792</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45792</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45792</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45792</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45792</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45792</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45792</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45792</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45792</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45792</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45792</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45792</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45792</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45792</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45792</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45792</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45792</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45792</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45792</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45792</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45792</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45792</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45792</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45792</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45792</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45792</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45792</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45792</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45792</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45792</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45792</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45792</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45792</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45792</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45792</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45792</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45792</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45792</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45792</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45792</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45792</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45792</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45792</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45792</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45792</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45792</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45792</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45792</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45792</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45792</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45792</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45792</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45792</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45792</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45792</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45792</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45792</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45792</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45792</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45792</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45792</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45792</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45792</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45792</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45792</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45792</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45792</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45792</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45792</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45792</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45792</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45792</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45792</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45792</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45792</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45792</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45792</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45792</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45792</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45792</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45792</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45792</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45792</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45792</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45792</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45792</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45792</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45792</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45792</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45792</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45792</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45792</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45792</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45792</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45792</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45792</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45792</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45792</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45792</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45792</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45792</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45792</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45792</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45792</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45792</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45792</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45792</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45792</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45792</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45792</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45792</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45792</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45792</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45792</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45792</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45792</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45792</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45792</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45792</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45792</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45792</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45792</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45792</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45792</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45792</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45792</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45792</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45792</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45792</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45792</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45792</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45792</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45792</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45792</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45792</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45792</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45792</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45792</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45792</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45792</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45792</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45792</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45792</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45792</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45792</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45792</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45792</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45792</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45792</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45792</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45792</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45792</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45792</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45792</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45792</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45792</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45792</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45792</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45792</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45792</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45792</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45792</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45792</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45792</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45792</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45792</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45792</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45792</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45792</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45792</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45792</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45792</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45792</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45792</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45792</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45792</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45792</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45792</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45792</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45792</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45792</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45792</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45792</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45792</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45792</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45792</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45792</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45792</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45792</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45792</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45792</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45792</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45792</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45792</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45792</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45792</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45792</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45792</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45792</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45792</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45792</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45792</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45792</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45792</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45792</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45792</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45792</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45792</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45792</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45792</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45792</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45792</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45792</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45792</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45792</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45792</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45792</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45792</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45792</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45792</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45792</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45792</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45792</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45792</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45792</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45792</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45792</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45792</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45792</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45792</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45792</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45792</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45792</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45792</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45792</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45792</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45792</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45792</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45792</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45792</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45792</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45792</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45792</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45792</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45792</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45792</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45792</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45792</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45792</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45792</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45792</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45792</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45792</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45792</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45792</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45792</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45792</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45792</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45792</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45792</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45792</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45792</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45792</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45792</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45792</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45792</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45792</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45792</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45792</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45792</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45792</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45792</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45792</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45792</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45792</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45792</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45792</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45792</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45792</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45792</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45792</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45792</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45792</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45792</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45792</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45792</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45792</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45792</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45792</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45792</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45792</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45792</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45792</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45792</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45792</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45792</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45792</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45792</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45792</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45792</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45792</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45792</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45792</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45792</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45792</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45792</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45792</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45792</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45792</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45792</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45792</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45792</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45792</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45792</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45792</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45792</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45792</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45792</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45792</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45792</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45792</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45792</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45792</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45792</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45792</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45792</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45792</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45792</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45792</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45792</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45792</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45792</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45792</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45792</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45792</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45792</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45792</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45792</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45792</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45792</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45792</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45792</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45792</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45792</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45792</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45792</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45792</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45792</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45792</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45792</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45792</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45792</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45792</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45792</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45792</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45792</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45792</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45792</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45792</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45792</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45792</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45792</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45792</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45792</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45792</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45792</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45792</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45792</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45792</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45792</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45792</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45792</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45792</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45792</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45792</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45792</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45792</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45792</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45792</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45792</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45792</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45792</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45792</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45792</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45792</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45792</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45792</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45792</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45792</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45792</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45792</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45792</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45792</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45792</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45792</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45792</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45792</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45792</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45792</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45792</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45792</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45792</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45792</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45792</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45792</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45792</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45792</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45792</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45792</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45792</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45792</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45792</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45792</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45792</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45792</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45792</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45792</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45792</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45792</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45792</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45792</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45792</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45792</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45792</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45792</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45792</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45792</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45792</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45792</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45792</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45792</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45792</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45792</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45792</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45792</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45792</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45792</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45792</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45792</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45792</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45792</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45792</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45792</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45792</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45792</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45792</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45792</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45792</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45792</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45792</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45792</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45792</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45792</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45792</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45792</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45792</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45792</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45792</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45792</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45792</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45792</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45792</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45792</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45792</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45792</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45792</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45792</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45792</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45792</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45792</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45792</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45792</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45792</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45792</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45792</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45792</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45792</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45792</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45792</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45792</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45792</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45792</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45792</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45792</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45792</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45792</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45792</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45792</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45792</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45792</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45792</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45792</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45792</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45792</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45792</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45792</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45792</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45792</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45792</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45792</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45792</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45792</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45792</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45792</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45792</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45792</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45792</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45792</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45792</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45792</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45792</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45792</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45792</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45792</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45792</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45792</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45792</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45792</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45792</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45792</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45792</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45792</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45792</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45792</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45792</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45792</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45792</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45792</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45792</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45792</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45792</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45792</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45792</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45792</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45792</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45792</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45792</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45792</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45792</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45792</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45792</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45792</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45792</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45792</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45792</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45792</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45792</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45792</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45792</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45792</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45792</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45792</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45792</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45792</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45792</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45792</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45792</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45792</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45792</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45792</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45792</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45792</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45792</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45792</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45792</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45792</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45792</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45792</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45792</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45792</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45792</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45792</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45792</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45792</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45792</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45792</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45792</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45792</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45792</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45792</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45792</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45792</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45792</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45792</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45792</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45792</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45792</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45792</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45792</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45792</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45792</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45792</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45792</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45792</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45792</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45792</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45792</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45792</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45792</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45792</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45792</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45792</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45792</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45792</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45792</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45792</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45792</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45792</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45792</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45792</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45792</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45792</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45792</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45792</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45792</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45792</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45792</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45792</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45792</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45792</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45792</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45792</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45792</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45792</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45792</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45792</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45792</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45792</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45792</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45792</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45792</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45792</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45792</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45792</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45792</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45792</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45792</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45792</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45792</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45792</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45792</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45792</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45792</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45792</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45792</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45792</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45792</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45792</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45792</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45792</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45792</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45792</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45792</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45792</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45792</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45792</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45792</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45792</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45792</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45792</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45792</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45792</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45792</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45792</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45792</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45792</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45792</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45792</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45792</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45792</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45792</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45792</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45792</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45792</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45792</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45792</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45792</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45792</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45792</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45792</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45792</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45792</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45792</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45792</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45792</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45792</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45792</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45792</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45792</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45792</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45792</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45792</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45792</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45792</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45792</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45792</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45792</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45792</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45792</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45792</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45792</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45792</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45792</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45792</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45792</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45792</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45792</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45792</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45792</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45792</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45792</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45792</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45792</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45792</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45792</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45792</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45792</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45792</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45792</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45792</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45792</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45792</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45792</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45792</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45792</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45792</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45792</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45792</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45792</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45792</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45792</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45792</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45792</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45792</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45792</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45792</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45792</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45792</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45792</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45792</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45792</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45792</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45792</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45792</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45792</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45792</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45792</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45792</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45792</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45792</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45792</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45792</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45792</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45792</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45792</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45792</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45792</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45792</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45792</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45792</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45792</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45792</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45792</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45792</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45792</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45792</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45792</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45792</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45792</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45792</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45792</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45792</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45792</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45792</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45792</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45792</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45792</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45792</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45792</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45792</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45792</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45792</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45792</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45792</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45792</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45792</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45792</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45792</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45792</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45792</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45792</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45792</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45792</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45792</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45792</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45792</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45792</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45792</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45792</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45792</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45792</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45792</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45792</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45792</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45792</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45792</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45792</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45792</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45792</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45792</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45792</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45792</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45792</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45792</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45792</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45792</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45792</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45792</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45792</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45792</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45792</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45792</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45792</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45792</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45792</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45792</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45792</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45792</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45792</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45792</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45792</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45792</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45792</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45792</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45792</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45792</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45792</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45792</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45792</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45792</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45792</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45792</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45792</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45792</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45792</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45792</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45792</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45792</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45792</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45792</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45792</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45792</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45792</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45792</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45792</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45792</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45792</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45792</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45792</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45792</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45792</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45792</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45792</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45792</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45792</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45792</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45792</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45792</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45792</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45792</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45792</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45792</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45792</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45792</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45792</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45792</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45792</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45792</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45792</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45792</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45792</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45792</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45792</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45792</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45792</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45792</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45792</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45792</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45792</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45792</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45792</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45792</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45792</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45792</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45792</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45792</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45792</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45792</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45792</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45792</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45792</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45792</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45792</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45792</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45792</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45792</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45792</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45792</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45792</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45792</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45792</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45792</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45792</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45792</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45792</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45792</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45792</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45792</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45792</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45792</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45792</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45792</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45792</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45792</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45792</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45792</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45792</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45792</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45792</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45792</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45792</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45792</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45792</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45792</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45792</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45792</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45792</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45792</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45792</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45792</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45792</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45792</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45792</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45792</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45792</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45792</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45792</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45792</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45792</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45792</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45792</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45792</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45792</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45792</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45792</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45792</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45792</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45792</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45792</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45792</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45792</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45792</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45792</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45792</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45792</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45792</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45792</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45792</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45792</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45792</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45792</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45792</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45792</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45792</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45792</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45792</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45792</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45792</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45792</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45792</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45792</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45792</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45792</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45792</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45792</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45792</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45792</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45792</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45792</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45792</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45792</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45792</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45792</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45792</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45792</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45792</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45792</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45792</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45792</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45792</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45792</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45792</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45792</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45792</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45792</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45792</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45792</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45792</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45792</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45792</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45792</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45792</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45792</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45792</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45792</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45792</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45792</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45792</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45792</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45792</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45792</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45792</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45792</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45792</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45792</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45792</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45792</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45792</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45792</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45792</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45792</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45792</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45792</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45792</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45792</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45792</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45792</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45792</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45792</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45792</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45792</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45792</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45792</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45792</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45792</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45792</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45792</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45792</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45792</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45792</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45792</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45792</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45792</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45792</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45792</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45792</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45792</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45792</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45792</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45792</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45792</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45792</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45792</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45792</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45792</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45792</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45792</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45792</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45792</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45792</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45792</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45792</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45792</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45792</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45792</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45792</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45792</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45792</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45792</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45792</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45792</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45792</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45792</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45792</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45792</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45792</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45792</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45792</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45792</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45792</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45792</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45792</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45792</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45792</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45792</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45792</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45792</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45792</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45792</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45792</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45792</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45792</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45792</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45792</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45792</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45792</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45792</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45792</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45792</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45792</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45792</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45792</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45792</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45792</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45792</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45792</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45792</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45792</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45792</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45792</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45792</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45792</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45792</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45792</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45792</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45792</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45792</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45792</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45792</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45792</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45792</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45792</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45792</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45792</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45792</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45792</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45792</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45792</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45792</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45792</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45792</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45792</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45792</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45792</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45792</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45792</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45792</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45792</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45792</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45792</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45792</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45792</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45792</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45792</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45792</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45792</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45792</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45792</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45792</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45792</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45792</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45792</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45792</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45792</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45792</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45792</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45792</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45792</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45792</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45792</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45792</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45792</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45792</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45792</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45792</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45792</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45792</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45792</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45792</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45792</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45792</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45792</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45792</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45792</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45792</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45792</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45792</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45792</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45792</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45792</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45792</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45792</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45792</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45792</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45792</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45792</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45792</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45792</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45792</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45792</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45792</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45792</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45792</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45792</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45792</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45792</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45792</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45792</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45792</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45792</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45792</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45792</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45792</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45792</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45792</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45792</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45792</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45792</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45792</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45792</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45792</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45792</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45792</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45792</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45792</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45792</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45792</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45792</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45792</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45792</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45792</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45792</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45792</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45792</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45792</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45792</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45792</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45792</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45792</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45792</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45792</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45792</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45792</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45792</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45792</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45792</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45792</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45792</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45792</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45792</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45792</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45792</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45792</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45792</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45792</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45792</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45792</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45792</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45792</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45792</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45792</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45792</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45792</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45792</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45792</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45792</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45792</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45792</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45792</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45792</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45792</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45792</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45792</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45792</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45792</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45792</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45792</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45792</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45792</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45792</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45792</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45792</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45792</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45792</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45792</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45792</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45792</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45792</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45792</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45792</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45792</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45792</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45792</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45792</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45792</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45792</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45792</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45792</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45792</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45792</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45792</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45792</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45792</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45792</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45792</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45792</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45792</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45792</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45792</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45792</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45792</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45792</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45792</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45792</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45792</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45792</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45792</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45792</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45792</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45792</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45792</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45792</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45792</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45792</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45792</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45792</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45792</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45792</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45792</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45792</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45792</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45792</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45792</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45792</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45792</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45792</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45792</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45792</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45792</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45792</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45792</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45792</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45792</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45792</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45792</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45792</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45792</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45792</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45792</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45792</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45792</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45792</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45792</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45792</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45792</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45792</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45792</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45792</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45792</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45792</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45792</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45792</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45792</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45792</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45792</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45792</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45792</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45792</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45792</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45792</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45792</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45792</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45792</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45792</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45792</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45792</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45792</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45792</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45792</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45792</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45792</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45792</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45792</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45792</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45792</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45792</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45792</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45792</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45792</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45792</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45792</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45792</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45792</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45792</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45792</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45792</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45792</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45792</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45792</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45792</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45792</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45792</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45792</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45792</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45792</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45792</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45792</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45792</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45792</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45792</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45792</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45792</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45792</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45792</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45792</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45792</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45792</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45792</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45792</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45792</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45792</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45792</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45792</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45792</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45792</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45792</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45792</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45792</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45792</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45792</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45792</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45792</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45792</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45792</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45792</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45792</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45792</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45792</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45792</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45792</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45792</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45792</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45792</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45792</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45792</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45792</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45792</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45792</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45792</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45792</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45792</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45792</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45792</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45792</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45792</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45792</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45792</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45792</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45792</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45792</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45792</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45792</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45792</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45792</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45792</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45792</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45792</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45792</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45792</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45792</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45792</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45792</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45792</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45792</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45792</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45792</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45792</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45792</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45792</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45792</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45792</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45792</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45792</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45792</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45792</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45792</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45792</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45792</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45792</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45792</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45792</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45792</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45792</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45792</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45792</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45792</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45792</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45792</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45792</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45792</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45792</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45792</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45792</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45792</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45792</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45792</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45792</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45792</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45792</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45792</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45792</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45792</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45792</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45792</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45792</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45792</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45792</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45792</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45792</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45792</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45792</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45792</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45792</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45792</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45792</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45792</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45792</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45792</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45792</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45792</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45792</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45792</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45792</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45792</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45792</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45792</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45792</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45792</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45792</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45792</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45792</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45792</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45792</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45792</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45792</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45792</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45792</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45792</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45792</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45792</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45792</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45792</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45792</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45792</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45792</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45792</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45792</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45792</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45792</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45792</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45792</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45792</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45792</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45792</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45792</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45792</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45792</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45792</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45792</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45792</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45792</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45792</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45792</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45792</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45792</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45792</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45792</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45792</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45792</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45792</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45792</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45792</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45792</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45792</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45792</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45792</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45792</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45792</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45792</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45792</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45792</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45792</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45792</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45792</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45792</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45792</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45792</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45792</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45792</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45792</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45792</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45792</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45792</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45792</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45792</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45792</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45792</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45792</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45792</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45792</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45792</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45792</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45792</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45792</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45792</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45792</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45792</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45792</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45792</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45792</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45792</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45792</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45792</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45792</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45792</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45792</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45792</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45792</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45792</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45792</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45792</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45792</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45792</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45792</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45792</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45792</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45792</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45792</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45792</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45792</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45792</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45792</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45792</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45792</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45792</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45792</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45792</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45792</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45792</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45792</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45792</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45792</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45792</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45792</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45792</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45792</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45792</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45792</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45792</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45792</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45792</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45792</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45792</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45792</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45792</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45792</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45792</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45792</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45792</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45792</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45792</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45792</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45792</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45792</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45792</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45792</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45792</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45792</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45792</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45792</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45792</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45792</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45792</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45792</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45792</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45792</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45792</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45792</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45792</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45792</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45792</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45792</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45792</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45792</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45792</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45792</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45792</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45792</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45792</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45792</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45792</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45792</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45792</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45792</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45792</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45792</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45792</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45792</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45792</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45792</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45792</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45792</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45792</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45792</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45792</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45792</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45792</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45792</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45792</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45792</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45792</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45792</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45792</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45792</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45792</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45792</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45792</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45792</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45792</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45792</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45792</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45792</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45792</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45792</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45792</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45792</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45792</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45792</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45792</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45792</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45792</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45792</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45792</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45792</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45792</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45792</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45792</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45792</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45792</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45792</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45792</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45792</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45792</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45792</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45792</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45792</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45792</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45792</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45792</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45792</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45792</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45792</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45792</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45792</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45792</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45792</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45792</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45792</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45792</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45792</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45792</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45792</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45792</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45792</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45792</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45792</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45792</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45792</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45792</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45792</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45792</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45792</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45792</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45792</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45792</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45792</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45792</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45792</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45792</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45792</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45792</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45792</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45792</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45792</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45792</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45792</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45792</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45792</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45792</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45792</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45792</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45792</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45792</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45792</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45792</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45792</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45792</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45792</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45792</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45792</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45792</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45792</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45792</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45792</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45792</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45792</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45792</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45792</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45792</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45792</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45792</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45792</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45792</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45792</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45792</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45792</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45792</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45792</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45792</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45792</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45792</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45792</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45792</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45792</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45792</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45792</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45792</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45792</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45792</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45792</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45792</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45792</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45792</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45792</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45792</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45792</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45792</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45792</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45792</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45792</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45792</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45792</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45792</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45792</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45792</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45792</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45792</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45792</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45792</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45792</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45792</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45792</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45792</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45792</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45792</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45792</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45792</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45792</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45792</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45792</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45792</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45792</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45792</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45792</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45792</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45792</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45792</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45792</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45792</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45792</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45792</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45792</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45792</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45792</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45792</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45792</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45792</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45792</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45792</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45792</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45792</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45792</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45792</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45792</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45792</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45792</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45792</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45792</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45792</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45792</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45792</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45792</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45792</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45792</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45792</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45792</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45792</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45792</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45792</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45792</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45792</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45792</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45792</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45792</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45792</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45792</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45792</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45792</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45792</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45792</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45792</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45792</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45792</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45792</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45792</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45792</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45792</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45792</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45792</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45792</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45792</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45792</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45792</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45792</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45792</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45792</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45792</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45792</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45792</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45792</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45792</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45792</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45792</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45792</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45792</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45792</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45792</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45792</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45792</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45792</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45792</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45792</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45792</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45792</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45792</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45792</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45792</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45792</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45792</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45792</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45792</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45792</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45792</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45792</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45792</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45792</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45792</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45792</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45792</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45792</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45792</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45792</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45792</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45792</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45792</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45792</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45792</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45792</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45792</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45792</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45792</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45792</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45792</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45792</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45792</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45792</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45792</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45792</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45792</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45792</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45792</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45792</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45792</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45792</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45792</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45792</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45792</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45792</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45792</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45792</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45792</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45792</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45792</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45792</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45792</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45792</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45792</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45792</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45792</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45792</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45792</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45792</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45792</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45792</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45792</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45792</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45792</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45792</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45792</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45792</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45792</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45792</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45792</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45792</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45792</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45792</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45792</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45792</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45792</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45792</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45792</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45792</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45792</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45792</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45792</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45792</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45792</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45792</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45792</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45792</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45792</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45792</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45792</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45792</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45792</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45792</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45792</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45792</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45792</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45792</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45792</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45792</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45792</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45792</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45792</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45792</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45792</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45792</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45792</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45792</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45792</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45792</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45792</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45792</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45792</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45792</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45792</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45792</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45792</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45792</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45792</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45792</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45792</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45792</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45792</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45792</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45792</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45792</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45792</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45792</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45792</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45792</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45792</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45792</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45792</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45792</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45792</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45792</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45792</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45792</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45792</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45792</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45792</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45792</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45792</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45792</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45792</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45792</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45792</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45792</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45792</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45792</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45792</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45792</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45792</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45792</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45792</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45792</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45792</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45792</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45792</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45792</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45792</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45792</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45792</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45792</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45792</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45792</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45792</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45792</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45792</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45792</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45792</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45792</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45792</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45792</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45792</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45792</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45792</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45792</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45792</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45792</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45792</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45792</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45792</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45792</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45792</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45792</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45792</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45792</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45792</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45792</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45792</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45792</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45792</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45792</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45792</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45792</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45792</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45792</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45792</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45792</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45792</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45792</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45792</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45792</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45792</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45792</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45792</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45792</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45792</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45792</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45792</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45792</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45792</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45792</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45792</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45792</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45792</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45792</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45792</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45792</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45792</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45792</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45792</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45792</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45792</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45792</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45792</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45792</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45792</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45792</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45792</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45792</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45792</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45792</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45792</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45792</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45792</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45792</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45792</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45792</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45792</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45792</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45792</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45792</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45792</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45792</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45792</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45792</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45792</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45792</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45792</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45792</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45792</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45792</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45792</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45792</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45792</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45792</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45792</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45792</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45792</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45792</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45792</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45792</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45792</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45792</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45792</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45792</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45792</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45792</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45792</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45792</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45792</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45792</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45792</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45792</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45792</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45792</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45792</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45792</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45792</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45792</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45792</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45792</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45792</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45792</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45792</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45792</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45792</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45792</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45792</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45792</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45792</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45792</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45792</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45792</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45792</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45792</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45792</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45792</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45792</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45792</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45792</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45792</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45792</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45792</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45792</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45792</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45792</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45792</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45792</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45792</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45792</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45792</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45792</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45792</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45792</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45792</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45792</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45792</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45792</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45792</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45792</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45792</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45792</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45792</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45792</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45792</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45792</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45792</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45792</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45792</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45792</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45792</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45792</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45792</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45792</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45792</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45792</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45792</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45792</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45792</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45792</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45792</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45792</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45792</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45792</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45792</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45792</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45792</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45792</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45792</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45792</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45792</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45792</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45792</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45792</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45792</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45792</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45792</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45792</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45792</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45792</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45792</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45792</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45792</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45792</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45792</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45792</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45792</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45792</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45792</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45792</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45792</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45792</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45792</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45792</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45792</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45792</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45792</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45792</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45792</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45792</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45792</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45792</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45792</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45792</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45792</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45792</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45792</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45792</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45792</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45792</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45792</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45792</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45792</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45792</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45792</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45792</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45792</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45792</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45792</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45792</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45792</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45792</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45792</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45792</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45792</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45792</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45792</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45792</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45792</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45792</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45792</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45792</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45792</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45792</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45792</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45792</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45792</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45792</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45792</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45792</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45792</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45792</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45792</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45792</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45792</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45792</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45792</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45792</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45792</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45792</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45792</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45792</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45792</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45792</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45792</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45792</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45792</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45792</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45792</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45792</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45792</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45792</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45792</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45792</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45792</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45792</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45792</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45792</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45792</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45792</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45792</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45792</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45792</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45792</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45792</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45792</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45792</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45792</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45792</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45792</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45792</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45792</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45792</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45792</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45792</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45792</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45792</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45792</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45792</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45792</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45792</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45792</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45792</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45792</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45792</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45792</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45792</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45792</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45792</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45792</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45792</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45792</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45792</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45792</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45792</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45792</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45792</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45792</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45792</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45792</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45792</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45792</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45792</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45792</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45792</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45792</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45792</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45792</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45792</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45792</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45792</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45792</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45792</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45792</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45792</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45792</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45792</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45792</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45792</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45792</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45792</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45792</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45792</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45792</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45792</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45792</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45792</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45792</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45792</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45792</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45792</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45792</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45792</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45792</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45792</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45792</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45792</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45792</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45792</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45792</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45792</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45792</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45792</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45792</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45792</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45792</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45792</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45792</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45792</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45792</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45792</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45792</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45792</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45792</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45792</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45792</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45792</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45792</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45792</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45792</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45792</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45792</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45792</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45792</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45792</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45792</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45792</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45792</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45792</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45792</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45792</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45792</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45792</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45792</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45792</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45792</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45792</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45792</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45792</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45792</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45792</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45792</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45792</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45792</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45792</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45792</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45792</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45792</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45792</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45792</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45792</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45792</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45792</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45792</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45792</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45792</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45792</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45792</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45792</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45792</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45792</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45792</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45792</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45792</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45792</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45792</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45792</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45792</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45792</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45792</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45792</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45792</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45792</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45792</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45792</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45792</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45792</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45792</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45792</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45792</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45792</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45792</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45792</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45792</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45792</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45792</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45792</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45792</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45792</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45792</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45792</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45792</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45792</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45792</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45792</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45792</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45792</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45792</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45792</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45792</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45792</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45792</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45792</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45792</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45792</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45792</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45792</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45792</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45792</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45792</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45792</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45792</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45792</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45792</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45792</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45792</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45792</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45792</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45792</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45792</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45792</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45792</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45792</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45792</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45792</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45792</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45792</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45792</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45792</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45792</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45792</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45792</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45792</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45792</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45792</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45792</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45792</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45792</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45792</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45792</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45792</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45792</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45792</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45792</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45792</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45792</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45792</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45792</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45792</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45792</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45792</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45792</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45792</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45792</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45792</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45792</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45792</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45792</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45792</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45792</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45792</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45792</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45792</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45792</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45792</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45792</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45792</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45792</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45792</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45792</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45792</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45792</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45792</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45792</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45792</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45792</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45792</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45792</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45792</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45792</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45792</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45792</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45792</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45792</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45792</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45792</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45792</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45792</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45792</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45792</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45792</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45792</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45792</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45792</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45792</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45792</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45792</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45792</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45792</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45792</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45792</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45792</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45792</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45792</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45792</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45792</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45792</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45792</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45792</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45792</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45792</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45792</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45792</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45792</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45792</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45792</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45792</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45792</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45792</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45792</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45792</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45792</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45792</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45792</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45792</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45792</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45792</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45792</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45792</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45792</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45792</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45792</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45792</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45792</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45792</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45792</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45792</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45792</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45792</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45792</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45792</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45792</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45792</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45792</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45792</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45792</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45792</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45792</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45792</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45792</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45792</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45792</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45792</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45792</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45792</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45792</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45792</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45792</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45792</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45792</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45792</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45792</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45792</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45792</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45792</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45792</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45792</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45792</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45792</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45792</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45792</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45792</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45792</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45792</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45792</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45792</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45792</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45792</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45792</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45792</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45792</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45792</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45792</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45792</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45792</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45792</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45792</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45792</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45792</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45792</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45792</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45792</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45792</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45792</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45792</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45792</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45792</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45792</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45792</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45792</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45792</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45792</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45792</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45792</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45792</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45792</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45792</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45792</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45792</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45792</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45792</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45792</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45792</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45792</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45792</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45792</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45792</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45792</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45792</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45792</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45792</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45792</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45792</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45792</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45792</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45792</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45792</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45792</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45792</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45792</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45792</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45792</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45792</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45792</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45792</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45792</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45792</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45792</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45792</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45792</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45792</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45792</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45792</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45792</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45792</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45792</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45792</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45792</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45792</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45792</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45792</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45792</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45792</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45792</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45792</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45792</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45792</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45792</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45792</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45792</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45792</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45792</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45792</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45792</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45792</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45792</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45792</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45792</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45792</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45792</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45792</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45792</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45792</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45792</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45792</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45792</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45792</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45792</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45792</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45792</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45792</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45792</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45792</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45792</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45792</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45792</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45792</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45792</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45792</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45792</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45792</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45792</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45792</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45792</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45792</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45792</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45792</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45792</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45792</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45792</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45792</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45792</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45792</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45792</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45792</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45792</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45792</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45792</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45792</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45792</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45792</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45792</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45792</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45792</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45792</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45792</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45792</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45792</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45792</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45792</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45792</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45792</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45792</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45792</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45792</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45792</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45792</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45792</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45792</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45792</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45792</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45792</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45792</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45792</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45792</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45792</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45792</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45792</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45792</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45792</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45792</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45792</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45792</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45792</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45792</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45792</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45792</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45792</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45792</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45792</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45792</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45792</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45792</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45792</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45792</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45792</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45792</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45792</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45792</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45792</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45792</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45792</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45792</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45792</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45792</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45792</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45792</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45792</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45792</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45792</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45792</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45792</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45792</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45792</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45792</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45792</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45792</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45792</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45792</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45792</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45792</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45792</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45792</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45792</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45792</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45792</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45792</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45792</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45792</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45792</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45792</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45792</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45792</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45792</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45792</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45792</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45792</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45792</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45792</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45792</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45792</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45792</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45792</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45792</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45792</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45792</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45792</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45792</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45792</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45792</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45792</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45792</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45792</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45792</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45792</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45792</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45792</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45792</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45792</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45792</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45792</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45792</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45792</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45792</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45792</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45792</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45792</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45792</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45792</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45792</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45792</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45792</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45792</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45792</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45792</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45792</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45792</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45792</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45792</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45792</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45792</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45792</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45792</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45792</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45792</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45792</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45792</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45792</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45792</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45792</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45792</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45792</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45792</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45792</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45792</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45792</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45792</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45792</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45792</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45792</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45792</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45792</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45792</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45792</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45792</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45792</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45792</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45792</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45792</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45792</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45792</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45792</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45792</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45792</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45792</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45792</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45792</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45792</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45792</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45792</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45792</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45792</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45792</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45792</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45792</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45792</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45792</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45792</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45792</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45792</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45792</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45792</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45792</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45792</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45792</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45792</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45792</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45792</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45792</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45792</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45792</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45792</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45792</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45792</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45792</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45792</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45792</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45792</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45792</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45792</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45792</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45792</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45792</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45792</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45792</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45792</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45792</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45792</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45792</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45792</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45792</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45792</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45792</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45792</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45792</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45792</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45792</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45792</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45792</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45792</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45792</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45792</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45792</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45792</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45792</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45792</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45792</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45792</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45792</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45792</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45792</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45792</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45792</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45792</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45792</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45792</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45792</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45792</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45792</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45792</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45792</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45792</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45792</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45792</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45792</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45792</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45792</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45792</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45792</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45792</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45792</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45792</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45792</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45792</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45792</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45792</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45792</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45792</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45792</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45792</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45792</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45792</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45792</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45792</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45792</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45792</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45792</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45792</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45792</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45792</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45792</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45792</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45792</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45792</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45792</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45792</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45792</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45792</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45792</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45792</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45792</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45792</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45792</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45792</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45792</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45792</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45792</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45792</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45792</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45792</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45792</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45792</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45792</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45792</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45792</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45792</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45792</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45792</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45792</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45792</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45792</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45792</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45792</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45792</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45792</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45792</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45792</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45792</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45792</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45792</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45792</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45792</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45792</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45792</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45792</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45792</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45792</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45792</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45792</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45792</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45792</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45792</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45792</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45792</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45792</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45792</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45792</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45792</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45792</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45792</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45792</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45792</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45792</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45792</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45792</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45792</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45792</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45792</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45792</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45792</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45792</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45792</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45792</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45792</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45792</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45792</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45792</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45792</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45792</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45792</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45792</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45792</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45792</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45792</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45792</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45792</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45792</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45792</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45792</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45792</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45792</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45792</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45792</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45792</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45792</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45792</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45792</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45792</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45792</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45792</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45792</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45792</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45792</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45792</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45792</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45792</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45792</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45792</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45792</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45792</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45792</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45792</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45792</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45792</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45792</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45792</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45792</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45792</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45792</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45792</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45792</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45792</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45792</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45792</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45792</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45792</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45792</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45792</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45792</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45792</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45792</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45792</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45792</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45792</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45792</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45792</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45792</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45792</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45792</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45792</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45792</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45792</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45792</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45792</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45792</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45792</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45792</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45792</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45792</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45792</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45792</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45792</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45792</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45792</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45792</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45792</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45792</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45792</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45792</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45792</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45792</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45792</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45792</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45792</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45792</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45792</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45792</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45792</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45792</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45792</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45792</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45792</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45792</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45792</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45792</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45792</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45792</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45792</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45792</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45792</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45792</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45792</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45792</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45792</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45792</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45792</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45792</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45792</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45792</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45792</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45792</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45792</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45792</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45792</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45792</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45792</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45792</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45792</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45792</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45792</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45792</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45792</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45792</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45792</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45792</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45792</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45792</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45792</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45792</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45792</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45792</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45792</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45792</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45792</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45792</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45792</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45792</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45792</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45792</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45792</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45792</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45792</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45792</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45792</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45792</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45792</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45792</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45792</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45792</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45792</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45792</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45792</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45792</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45792</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45792</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45792</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45792</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45792</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45792</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45792</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45792</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45792</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45792</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45792</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45792</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45792</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45792</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45792</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45792</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45792</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45792</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45792</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45792</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45792</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45792</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45792</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45792</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45792</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45792</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45792</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45792</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45792</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45792</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45792</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45792</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45792</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45792</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45792</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45792</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45792</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45792</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45792</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45792</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45792</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45792</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45792</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45792</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45792</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45792</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45792</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45792</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45792</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45792</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45792</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45792</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45792</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45792</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45792</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45792</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45792</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45792</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45792</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45792</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45792</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45792</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45792</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45792</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45792</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45792</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45792</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45792</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45792</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45792</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45792</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45792</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45792</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45792</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45792</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45792</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45792</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45792</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45792</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45792</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45792</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45792</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45792</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45792</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45792</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45792</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45792</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45792</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45792</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45792</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45792</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45792</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45792</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45792</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45792</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45792</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45792</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45792</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45792</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45792</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45792</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45792</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45792</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45792</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45792</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45792</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45792</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45792</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45792</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45792</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45792</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45792</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45792</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45792</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45792</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45792</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45792</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45792</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45792</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45792</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45792</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45792</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45792</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45792</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45792</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45792</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45792</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45792</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45792</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45792</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45792</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45792</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45792</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45792</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45792</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45792</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45792</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45792</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45792</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45792</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45792</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45792</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45792</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45792</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45792</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45792</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45792</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45792</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45792</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45792</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45792</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45792</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45792</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45792</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45792</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45792</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45792</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45792</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45792</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45792</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45792</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45792</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45792</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45792</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45792</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45792</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45792</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45792</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45792</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45792</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45792</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45792</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45792</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45792</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45792</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45792</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45792</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45792</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45792</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45792</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45792</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45792</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45792</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45792</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45792</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45792</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45792</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45792</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45792</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45792</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45792</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45792</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45792</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45792</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45792</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45792</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45792</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45792</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45792</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45792</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45792</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45792</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45792</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45792</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45792</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45792</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45792</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45792</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45792</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45792</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45792</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45792</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45792</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45792</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45792</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45792</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45792</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45792</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45792</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45792</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45792</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45792</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45792</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45792</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45792</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45792</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45792</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45792</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45792</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45792</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45792</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45792</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45792</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45792</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45792</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45792</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45792</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45792</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45792</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45792</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45792</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45792</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45792</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45792</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45792</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45792</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45792</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45792</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45792</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45792</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45792</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45792</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45792</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45792</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45792</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45792</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45792</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45792</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45792</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45792</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45792</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45792</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45792</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45792</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45792</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45792</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45792</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45792</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45792</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45792</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45792</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45792</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45792</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45792</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45792</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45792</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45792</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45792</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45792</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45792</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45792</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45792</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45792</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45792</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45792</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45792</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45792</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45792</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45792</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45792</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45792</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45792</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45792</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45792</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45792</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45792</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45792</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45792</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45792</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45792</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45792</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45792</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45792</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45792</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45792</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45792</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45792</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45792</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45792</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45792</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45792</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45792</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45792</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45792</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45792</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45792</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45792</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45792</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45792</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45792</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45792</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45792</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45792</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45792</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45792</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45792</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45792</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45792</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45792</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45792</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45792</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45792</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45792</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45792</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45792</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45792</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45792</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45792</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45792</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45792</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45792</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45792</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45792</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45792</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45792</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45792</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45792</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45792</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45792</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45792</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45792</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45792</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45792</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45792</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45792</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45792</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45792</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45792</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45792</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45792</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45792</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45792</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45792</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45792</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45792</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45792</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45792</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45792</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45792</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45792</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45792</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45792</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45792</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45792</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45792</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45792</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45792</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45792</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45792</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45792</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45792</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45792</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45792</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45792</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45792</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45792</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45792</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45792</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45792</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45792</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45792</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45792</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45792</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45792</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45792</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45792</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45792</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45792</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45792</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45792</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45792</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45792</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45792</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45792</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45792</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45792</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45792</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45792</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45792</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45792</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45792</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45792</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45792</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45792</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45792</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45792</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45792</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45792</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45792</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45792</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45792</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45792</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45792</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45792</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45792</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45792</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45792</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45792</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45792</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45792</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45792</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45792</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45792</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45792</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45792</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45792</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45792</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45792</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45792</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45792</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45792</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45792</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45792</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45792</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45792</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45792</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45792</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45792</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45792</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45792</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45792</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45792</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45792</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45792</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45792</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45792</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45792</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45792</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45792</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45792</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45792</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45792</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45792</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45792</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45792</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45792</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45792</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45792</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45792</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45792</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45792</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45792</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45792</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45792</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45792</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45792</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45792</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45792</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45792</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45792</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45792</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45792</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45792</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45792</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45792</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45792</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45792</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45792</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45792</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45792</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45792</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45792</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45792</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45792</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45792</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45792</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45792</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45792</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45792</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45792</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45792</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45792</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45792</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45792</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45792</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45792</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45792</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45792</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45792</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45792</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45792</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45792</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45792</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45792</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45792</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45792</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45792</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45792</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45792</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45792</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45792</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45792</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45792</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45792</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45792</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45792</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45792</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45792</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45792</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45792</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45792</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45792</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45792</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45792</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45792</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45792</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45792</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45792</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45792</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45792</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45792</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45792</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45792</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45792</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45792</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45792</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45792</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45792</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45792</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45792</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45792</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45792</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45792</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45792</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45792</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45792</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45792</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45792</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45792</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45792</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45792</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45792</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45792</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45792</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45792</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45792</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45792</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45792</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45792</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45792</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45792</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45792</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45792</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45792</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45792</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45792</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45792</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45792</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45792</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45792</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45792</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45792</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45792</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45792</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45792</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45792</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45792</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45792</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45792</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45792</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45792</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45792</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45792</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45792</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45792</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45792</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45792</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45792</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45792</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45792</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45792</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45792</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45792</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45792</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45792</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45792</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45792</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45792</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45792</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45792</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45792</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45792</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45792</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45792</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45792</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45792</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45792</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45792</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45792</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45792</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45792</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45792</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45792</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45792</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45792</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45792</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45792</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45792</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45792</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45792</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45792</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45792</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45792</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45792</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45792</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45792</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45792</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45792</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45792</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45792</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45792</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45792</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45792</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45792</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45792</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45792</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45792</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45792</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45792</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45792</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45792</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45792</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45792</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45792</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45792</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45792</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45792</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45792</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45792</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45792</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45792</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45792</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45792</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45792</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45792</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45792</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45792</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45792</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45792</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45792</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45792</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45792</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45792</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45792</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45792</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45792</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45792</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45792</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45792</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45792</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45792</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45792</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45792</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45792</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45792</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45792</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45792</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45792</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45792</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45792</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45792</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45792</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45792</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45792</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45792</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45792</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45792</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45792</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45792</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45792</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45792</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45792</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45792</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45792</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45792</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45792</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45792</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45792</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45792</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45792</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45792</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45792</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45792</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45792</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45792</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45792</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45792</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45792</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45792</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45792</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45792</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45792</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45792</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45792</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45792</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45792</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45792</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45792</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45792</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45792</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45792</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45792</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45792</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45792</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45792</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45792</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45792</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45792</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45792</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45792</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45792</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45792</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45792</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45792</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45792</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45792</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45792</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45792</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45792</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45792</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45792</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45792</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45792</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45792</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45792</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45792</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45792</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45792</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45792</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45792</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45792</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45792</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45792</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45792</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45792</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45792</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45792</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45792</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45792</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45792</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45792</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45792</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45792</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45792</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45792</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45792</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45792</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45792</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45792</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45792</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45792</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45792</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45792</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45792</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45792</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45792</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45792</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45792</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45792</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45792</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45792</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45792</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45792</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45792</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45792</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45792</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45792</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45792</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45792</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45792</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45792</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45792</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45792</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45792</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45792</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45792</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45792</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45792</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45792</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45792</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45792</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45792</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45792</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45792</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45792</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45792</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45792</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45792</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45792</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45792</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45792</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45792</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45792</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45792</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45792</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45792</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45792</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45792</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45792</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45792</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45792</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45792</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45792</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45792</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45792</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45792</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45792</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45792</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45792</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45792</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45792</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45792</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45792</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45792</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45792</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45792</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45792</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45792</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45792</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45792</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45792</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45792</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45792</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45792</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45792</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45792</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45792</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45792</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45792</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45792</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45792</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45792</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45792</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45792</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45792</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45792</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45792</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45792</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45792</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45792</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45792</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45792</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45792</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45792</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45792</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45792</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45792</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45792</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45792</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45792</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45792</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45792</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45792</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45792</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45792</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45792</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45792</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45792</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45792</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45792</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45792</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45792</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45792</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45792</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45792</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45792</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45792</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45792</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45792</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45792</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45792</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45792</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45792</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45792</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45792</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45792</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45792</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45792</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45792</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45792</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45792</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45792</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45792</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45792</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45792</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45792</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45792</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45792</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45792</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45792</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45792</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45792</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45792</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45792</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45792</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45792</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45792</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45792</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45792</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45792</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45792</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45792</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45792</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45792</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45792</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45792</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45792</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45792</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45792</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45792</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45792</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45792</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45792</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45792</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45792</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45792</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45792</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45792</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45792</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45792</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45792</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45792</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45792</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45792</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45792</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45792</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45792</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45792</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45792</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45792</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45792</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45792</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45792</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45792</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45792</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45792</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45792</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45792</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45792</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45792</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45792</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45792</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45792</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45792</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45792</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45792</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45792</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45792</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45792</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45792</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45792</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45792</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45792</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45792</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45792</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45792</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45792</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45792</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45792</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45792</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45792</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45792</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45792</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45792</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45792</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45792</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45792</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45792</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45792</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45792</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45792</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45792</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45792</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45792</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45792</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45792</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45792</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45792</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45792</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45792</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45792</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45792</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45792</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45792</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45792</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45792</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45792</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45792</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45792</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45792</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45792</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45792</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45792</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45792</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45792</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45792</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45792</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45792</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45792</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45792</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45792</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45792</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45792</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45792</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45792</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45792</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45792</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45792</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45792</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45792</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45792</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45792</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45792</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45792</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45792</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45792</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45792</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45792</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45792</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45792</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45792</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45792</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45792</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45792</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45792</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45792</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45792</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45792</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45792</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45792</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45792</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45792</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45792</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45792</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45792</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45792</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45792</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45792</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45792</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45792</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45792</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45792</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45792</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45792</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45792</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45792</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45792</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45792</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45792</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45792</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45792</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45792</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45792</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45792</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45792</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45792</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45792</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45792</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45792</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45792</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45792</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45792</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45792</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45792</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45792</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45792</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45792</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45792</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45792</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45792</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45792</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45792</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45792</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45792</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45792</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45792</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45792</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45792</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45792</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45792</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45792</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45792</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45792</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45792</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45792</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45792</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45792</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45792</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45792</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45792</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45792</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45792</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45792</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45792</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45792</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45792</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45792</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45792</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45792</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45792</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45792</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45792</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45792</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45792</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45792</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45792</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45792</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45792</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45792</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45792</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45792</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45792</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45792</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45792</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45792</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45792</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45792</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45792</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45792</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45792</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45792</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45792</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45792</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45792</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45792</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45792</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45792</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45792</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45792</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45792</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45792</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45792</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45792</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45792</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45792</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45792</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45792</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45792</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45792</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45792</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45792</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45792</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45792</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45792</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45792</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45792</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45792</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45792</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45792</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45792</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45792</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45792</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45792</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45792</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45792</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45792</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45792</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45792</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45792</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45792</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45792</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45792</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45792</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45792</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45792</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45792</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45792</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45792</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45792</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45792</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45792</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45792</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45792</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45792</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45792</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45792</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45792</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45792</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45792</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45792</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45792</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45792</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45792</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45792</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45792</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45792</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45792</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45792</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45792</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45792</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45792</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45792</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45792</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45792</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45792</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45792</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45792</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45792</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45792</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45792</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45792</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45792</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45792</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45792</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45792</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45792</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45792</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45792</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45792</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45792</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45792</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45792</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45792</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45792</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45792</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45792</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45792</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45792</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45792</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45792</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45792</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45792</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45792</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45792</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45792</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45792</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45792</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45792</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45792</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45792</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45792</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45792</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45792</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45792</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45792</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45792</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45792</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45792</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45792</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45792</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45792</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45792</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45792</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45792</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45792</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45792</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45792</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45792</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45792</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45792</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45792</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45792</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45792</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45792</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45792</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45792</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45792</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45792</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45792</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45792</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45792</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45792</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45792</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45792</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45792</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45792</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45792</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45792</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45792</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45792</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45792</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45792</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45792</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45792</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45792</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45792</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45792</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45792</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45792</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45792</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45792</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45792</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45792</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45792</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45792</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45792</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45792</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45792</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45792</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45792</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45792</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45792</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45792</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45792</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45792</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45792</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45792</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45792</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45792</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45792</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45792</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45792</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45792</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45792</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45792</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45792</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45792</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45792</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45792</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45792</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45792</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45792</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45792</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45792</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45792</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45792</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45792</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45792</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45792</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45792</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45792</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45792</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45792</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45792</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45792</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45792</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45792</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45792</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45792</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45792</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45792</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45792</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45792</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45792</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45792</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45792</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45792</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45792</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45792</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45792</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45792</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45792</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45792</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45792</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45792</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45792</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45792</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45792</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45792</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45792</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45792</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45792</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45792</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45792</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45792</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45792</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45792</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45792</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45792</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45792</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45792</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45792</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45792</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45792</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45792</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45792</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45792</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45792</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45792</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45792</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45792</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45792</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45792</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45792</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45792</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45792</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45792</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45792</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45792</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45792</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45792</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45792</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45792</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45792</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45792</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45792</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45792</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45792</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45792</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45792</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45792</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45792</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45792</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45792</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45792</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45792</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45792</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45792</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45792</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45792</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45792</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45792</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45792</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45792</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45792</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45792</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45792</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45792</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45792</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45792</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45792</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45792</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45792</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45792</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45792</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45792</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45792</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45792</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45792</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45792</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45792</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45792</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45792</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45792</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45792</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45792</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45792</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45792</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45792</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45792</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45792</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45792</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45792</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45792</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45792</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45792</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45792</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45792</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45792</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45792</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45792</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45792</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45792</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45792</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45792</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45792</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45792</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45792</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45792</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45792</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45792</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45792</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45792</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45792</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45792</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45792</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45792</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45792</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45792</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45792</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45792</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45792</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45792</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45792</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45792</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45792</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45792</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45792</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45792</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45792</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45792</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45792</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45792</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45792</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45792</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45792</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45792</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45792</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45792</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45792</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45792</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45792</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45792</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45792</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45792</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45792</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45792</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45792</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45792</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45792</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45792</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45792</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45792</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45792</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45792</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45792</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45792</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45792</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45792</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45792</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45792</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45792</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45792</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45792</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45792</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45792</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45792</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45792</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45792</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45792</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45792</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45792</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45792</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45792</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45792</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45792</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45792</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45792</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45792</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45792</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45792</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45792</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45792</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45792</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45792</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45792</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45792</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45792</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45792</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45792</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45792</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45792</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45792</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45792</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45792</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45792</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45792</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45792</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45792</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45792</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45792</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45792</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45792</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45792</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45792</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45792</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45792</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45792</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45792</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45792</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45792</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45792</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45792</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45792</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45792</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45792</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45792</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45792</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45792</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45792</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45792</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45792</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45792</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45792</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45792</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45792</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45792</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45792</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45792</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45792</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45792</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45792</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45792</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45792</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45792</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45792</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45792</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45792</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45792</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45792</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45792</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45792</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45792</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45792</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45792</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45792</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45792</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45792</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45792</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45792</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45792</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45792</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45792</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45792</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45792</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45792</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45792</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45792</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45792</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45792</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45792</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45792</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45792</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45792</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45792</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45792</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45792</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45792</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45792</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45792</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45792</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45792</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45792</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45792</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45792</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45792</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45792</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45792</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45792</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45792</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45792</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45792</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45792</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45792</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45792</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45792</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45792</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45792</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45792</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45792</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45792</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45792</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45792</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45792</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45792</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45792</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45792</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45792</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45792</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45792</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45792</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45792</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45792</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45792</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45792</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45792</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45792</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45792</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45792</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45792</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45792</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45792</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45792</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45792</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45792</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45792</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45792</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45792</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45792</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45792</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45792</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45792</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45792</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45792</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45792</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45792</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45792</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45792</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45792</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45792</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45792</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45792</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45792</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45792</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45792</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45792</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45792</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45792</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45792</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45792</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45792</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45792</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45792</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45792</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45792</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45792</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45792</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45792</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45792</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45792</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45792</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45792</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45792</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45792</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45792</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45792</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45792</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45792</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45792</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45792</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45792</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45792</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45792</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45792</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45792</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45792</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45792</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45792</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45792</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45792</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45792</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45792</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45792</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45792</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45792</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45792</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45792</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45792</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45792</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45792</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45792</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45792</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45792</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45792</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45792</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45792</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45792</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45792</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45792</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45792</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45792</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45792</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45792</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45792</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45792</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45792</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45792</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45792</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45792</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45792</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45792</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45792</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45792</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45792</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45792</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45792</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45792</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45792</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45792</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45792</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45792</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45792</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45792</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45792</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45792</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45792</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45792</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45792</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45792</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45792</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45792</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45792</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45792</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45792</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45792</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45792</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45792</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45792</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45792</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45792</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45792</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45792</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45792</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45792</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45792</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45792</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45792</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45792</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45792</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45792</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45792</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45792</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45792</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45792</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45792</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45792</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45792</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45792</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45792</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45792</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45792</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45792</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45792</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45792</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45792</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45792</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45792</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45792</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45792</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45792</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45792</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45792</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45792</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45792</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45792</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45792</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45792</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45792</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45792</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45792</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45792</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45792</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45792</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45792</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45792</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45792</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45792</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45792</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45792</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45792</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45792</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45792</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45792</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45792</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45792</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45792</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45792</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45792</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45792</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45792</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45792</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45792</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45792</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45792</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45792</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45792</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45792</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45792</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45792</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45792</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45792</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45792</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45792</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45792</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45792</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45792</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45792</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45792</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45792</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45792</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45792</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45792</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45792</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45792</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45792</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45792</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45792</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45792</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45792</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45792</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45792</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45792</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45792</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45792</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45792</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45792</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45792</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45792</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45792</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45792</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45792</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45792</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45792</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45792</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45792</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45792</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45792</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45792</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45792</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45792</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45792</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45792</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45792</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45792</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45792</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45792</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45792</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45792</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45792</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45792</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45792</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45792</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45792</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45792</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45792</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45792</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45792</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45792</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45792</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45792</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45792</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45792</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45792</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45792</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45792</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45792</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45792</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45792</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45792</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45792</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45792</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45792</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45792</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45792</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45792</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45792</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45792</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45792</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45792</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45792</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45792</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45792</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45792</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45792</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45792</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45792</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45792</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45792</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45792</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45792</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45792</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45792</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45792</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45792</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45792</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45792</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45792</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45792</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45792</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45792</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45792</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45792</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45792</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45792</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45792</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45792</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45792</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45792</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45792</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45792</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45792</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45792</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45792</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45792</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45792</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45792</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45792</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45792</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45792</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45792</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45792</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45792</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45792</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45792</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45792</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45792</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45792</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45792</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45792</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45792</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45792</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45792</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45792</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45792</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45792</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45792</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45792</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45792</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45792</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45792</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45792</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45792</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45792</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45792</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45792</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45792</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45792</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45792</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45792</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45792</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45792</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45792</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45792</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45792</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45792</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45792</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45792</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45792</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45792</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45792</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45792</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45792</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45792</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45792</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45792</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45792</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45792</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45792</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45792</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45792</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45792</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45792</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45792</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45792</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45792</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45792</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45792</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45792</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45792</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45792</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45792</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45792</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45792</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45792</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45792</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45792</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45792</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45792</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45792</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45792</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45792</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45792</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45792</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45792</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45792</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45792</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45792</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45792</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45792</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45792</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45792</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45792</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45792</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45792</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45792</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45792</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45792</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45792</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45792</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45792</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45792</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45792</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45792</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45792</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45792</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45792</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45792</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45792</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45792</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45792</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45792</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45792</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45792</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45792</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45792</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45792</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45792</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45792</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45792</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45792</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45792</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45792</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45792</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45792</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45792</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45792</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45792</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45792</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45792</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45792</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45792</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45792</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45792</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45792</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45792</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45792</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45792</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45792</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45792</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45792</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45792</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45792</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45792</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45792</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45792</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45792</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45792</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45792</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45792</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45792</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45792</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45792</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45792</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45792</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45792</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45792</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45792</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45792</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45792</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45792</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45792</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45792</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45792</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45792</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45792</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45792</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45792</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45792</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45792</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45792</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45792</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45792</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45792</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45792</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45792</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45792</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45792</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45792</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45792</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45792</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45792</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45792</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45792</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45792</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45792</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45792</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45792</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45792</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45792</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45792</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45792</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45792</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45792</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45792</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45792</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45792</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45792</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45792</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45792</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45792</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45792</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45792</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45792</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45792</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45792</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45792</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45792</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45792</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45792</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45792</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45792</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45792</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45792</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45792</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45792</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45792</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45792</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45792</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45792</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45792</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45792</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45792</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45792</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45792</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45792</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45792</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45792</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45792</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45792</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45792</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45792</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45792</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45792</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45792</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45792</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45792</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45792</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45792</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45792</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45792</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45792</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45792</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45792</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45792</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45792</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45792</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45792</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45792</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45792</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45792</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45792</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45792</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45792</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45792</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45792</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45792</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45792</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45792</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45792</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45792</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45792</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45792</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45792</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45792</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45792</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45792</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45792</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45792</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45792</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45792</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45792</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45792</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45792</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45792</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45792</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45792</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45792</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45792</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45792</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45792</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45792</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45792</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45792</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45792</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45792</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45792</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45792</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45792</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45792</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45792</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45792</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45792</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45792</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45792</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45792</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45792</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45792</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45792</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45792</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45792</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45792</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45792</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45792</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45792</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45792</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45792</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45792</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45792</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45792</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45792</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45792</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45792</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45792</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45792</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45792</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45792</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45792</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45792</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45792</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45792</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45792</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45792</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45792</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45792</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45792</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45792</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45792</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45792</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45792</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45792</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45792</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45792</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45792</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45792</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45792</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45792</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45792</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45792</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45792</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45792</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45792</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45792</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45792</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45792</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45792</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45792</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45792</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45792</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45792</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45792</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45792</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45792</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45792</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45792</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45792</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45792</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45792</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45792</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45792</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45792</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45792</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45792</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45792</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45792</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45792</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45792</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45792</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45792</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45792</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45792</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45792</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45792</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45792</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45792</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45792</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45792</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45792</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45792</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45792</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45792</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45792</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45792</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45792</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45792</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45792</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45792</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45792</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45792</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45792</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45792</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45792</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45792</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45792</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45792</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45792</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45792</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45792</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45792</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45792</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45792</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45792</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45792</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45792</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45792</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45792</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45792</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45792</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45792</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45792</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45792</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45792</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45792</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45792</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45792</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45792</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45792</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45792</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45792</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45792</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45792</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45792</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45792</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45792</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45792</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45792</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45792</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45792</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45792</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45792</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45792</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45792</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45792</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45792</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45792</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45792</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45792</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45792</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45792</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45792</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45792</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45792</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45792</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45792</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45792</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45792</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45792</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45792</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45792</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45792</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45792</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45792</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45792</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45792</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45792</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45792</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45792</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45792</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45792</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45792</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45792</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45792</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45792</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45792</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45792</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45792</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45792</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45792</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45792</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45792</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45792</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45792</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45792</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45792</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45792</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45792</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45792</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45792</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45792</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45792</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45792</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45792</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45792</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45792</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45792</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45792</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45792</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45792</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45792</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45792</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45792</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45792</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45792</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45792</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45792</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45792</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45792</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45792</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45792</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45792</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45792</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45792</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45792</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45792</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45792</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45792</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45792</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45792</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45792</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45792</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45792</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45792</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45792</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45792</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45792</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45792</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45792</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45792</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45792</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45792</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45792</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45792</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45792</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45792</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45792</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45792</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45792</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45792</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45792</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45792</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45792</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45792</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45792</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45792</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45792</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45792</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45792</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45792</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45792</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45792</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45792</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45792</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45792</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45792</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45792</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45792</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45792</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45792</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45792</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45792</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45792</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45792</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45792</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45792</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45792</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45792</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45792</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45792</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45792</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45792</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45792</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45792</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45792</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45792</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45792</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45792</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45792</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45792</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45792</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45792</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45792</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45792</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45792</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45792</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45792</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45792</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45792</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45792</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45792</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45792</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45792</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45792</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45792</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45792</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45792</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45792</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45792</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45792</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45792</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45792</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45792</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45792</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45792</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45792</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45792</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45792</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45792</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45792</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45792</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45792</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45792</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45792</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45792</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45792</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45792</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45792</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45792</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45792</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45792</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45792</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45792</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45792</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45792</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45792</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45792</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45792</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45792</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45792</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45792</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45792</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45792</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45792</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45792</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45792</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45792</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45792</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45792</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45792</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45792</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45792</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45792</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45792</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45792</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45792</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45792</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45792</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45792</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45792</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45792</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45792</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45792</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45792</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45792</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45792</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45792</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45792</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45792</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45792</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45792</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45792</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45792</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45792</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45792</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45792</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45792</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45792</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45792</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45792</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45792</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45792</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45792</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45792</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45792</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45792</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45792</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45792</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45792</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45792</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45792</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45792</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45792</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45792</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45792</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45792</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45792</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45792</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45792</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45792</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45792</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45792</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45792</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45792</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45792</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45792</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45792</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45792</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45792</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45792</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45792</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45792</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45792</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45792</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45792</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45792</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45792</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45792</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45792</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45792</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45792</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45792</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45792</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45792</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45792</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45792</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45792</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45792</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45792</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45792</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45792</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45792</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45792</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45792</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45792</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45792</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45792</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45792</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45792</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45792</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45792</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45792</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45792</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45792</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45792</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45792</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45792</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45792</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45792</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45792</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45792</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45792</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45792</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45792</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45792</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45792</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45792</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45792</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45792</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45792</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45792</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45792</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45792</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45792</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45792</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45792</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45792</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45792</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45792</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45792</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45792</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45792</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45792</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45792</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45792</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45792</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45792</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45792</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45792</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45792</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45792</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45792</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45792</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45792</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45792</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45792</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45792</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45792</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45792</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45792</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45792</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45792</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45792</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45792</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45792</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45792</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45792</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45792</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45792</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45792</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45792</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45792</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45792</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45792</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45792</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45792</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45792</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45792</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45792</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45792</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45792</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45792</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45792</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45792</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45792</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45792</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45792</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45792</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45792</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45792</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45792</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45792</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45792</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45792</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45792</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45792</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45792</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45792</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45792</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45792</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45792</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45792</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45792</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45792</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45792</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45792</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45792</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45792</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45792</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45792</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45792</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45792</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45792</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45792</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45792</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45792</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45792</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45792</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45792</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45792</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45792</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45792</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45792</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45792</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45792</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45792</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45792</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45792</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45792</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45792</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45792</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45792</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45792</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45792</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45792</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45792</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45792</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45792</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45792</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45792</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45792</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45792</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45792</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45792</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45792</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45792</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45792</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45792</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45792</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45792</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45792</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45792</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45792</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45792</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45792</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45792</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45792</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45792</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45792</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45792</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45792</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45792</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45792</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45792</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45792</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45792</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45792</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45792</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45792</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45792</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45792</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45792</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45792</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45792</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45792</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45792</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45792</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45792</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45792</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45792</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45792</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45792</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45792</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45792</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45792</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45792</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45792</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45792</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45792</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45792</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45792</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45792</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45792</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45792</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45792</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45792</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45792</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45792</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45792</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45792</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45792</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45792</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45792</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45792</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45792</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45792</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45792</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45792</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45792</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45792</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45792</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45792</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45792</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45792</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45792</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45792</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45792</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45792</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45792</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45792</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45792</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45792</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45792</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45792</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45792</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45792</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45792</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45792</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45792</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45792</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45792</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45792</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45792</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45792</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45792</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45792</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45792</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45792</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45792</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45792</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45792</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45792</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45792</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45792</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45792</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45792</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45792</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45792</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45792</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45792</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45792</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45792</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45792</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45792</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45792</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45792</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45792</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45792</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45792</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45792</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45792</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45792</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45792</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45792</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45792</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45792</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45792</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45792</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45792</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45792</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45792</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45792</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45792</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45792</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45792</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45792</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45792</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45792</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45792</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45792</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45792</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45792</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45792</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45792</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45792</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45792</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45792</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45792</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45792</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45792</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45792</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45792</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45792</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45792</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45792</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45792</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45792</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45792</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45792</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45792</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45792</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45792</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45792</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45792</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45792</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45792</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45792</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45792</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45792</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45792</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45792</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45792</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45792</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45792</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45792</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45792</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45792</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45792</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45792</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45792</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45792</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45792</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45792</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45792</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45792</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45792</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45792</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45792</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45792</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45792</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45792</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45792</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45792</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45792</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45792</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45792</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45792</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45792</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45792</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45792</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45792</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45792</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45792</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45792</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45792</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45792</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45792</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45792</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45792</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45792</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45792</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45792</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45792</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45792</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45792</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45792</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45792</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45792</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45792</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45792</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45792</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45792</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45792</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45792</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45792</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45792</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45792</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45792</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45792</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45792</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45792</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45792</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45792</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45792</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45792</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45792</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45792</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45792</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45792</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45792</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45792</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45792</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45792</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45792</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45792</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45792</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45792</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45792</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45792</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45792</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45792</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45792</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45792</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45792</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45792</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45792</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45792</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45792</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45792</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45792</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45792</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45792</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45792</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45792</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45792</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45792</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45792</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45792</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45792</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45792</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45792</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45792</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45792</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45792</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45792</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45792</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45792</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45792</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45792</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45792</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45792</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45792</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45792</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45792</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45792</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45792</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45792</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45792</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45792</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45792</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45792</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45792</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45792</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45792</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45792</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45792</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45792</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45792</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45792</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45792</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45792</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45792</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45792</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45792</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45792</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45792</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45792</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45792</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45792</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45792</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45792</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45792</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45792</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45792</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45792</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45792</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45792</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45792</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45792</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45792</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45792</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45792</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45792</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45792</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45792</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45792</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45792</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45792</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45792</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45792</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45792</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45792</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45792</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45792</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45792</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45792</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45792</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45792</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45792</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45792</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45792</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45792</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45792</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45792</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45792</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45792</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45792</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45792</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45792</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45792</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45792</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45792</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45792</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45792</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45792</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45792</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45792</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45792</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45792</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45792</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45792</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45792</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45792</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45792</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45792</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45792</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45792</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45792</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45792</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45792</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45792</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45792</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45792</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45792</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45792</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45792</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45792</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45792</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45792</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45792</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45792</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45792</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45792</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45792</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45792</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45792</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45792</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45792</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45792</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45792</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45792</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45792</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45792</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45792</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45792</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45792</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45792</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45792</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45792</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45792</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45792</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45792</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45792</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45792</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45792</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45792</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45792</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45792</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45792</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45792</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45792</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45792</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45792</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45792</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45792</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45792</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45792</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45792</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45792</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45792</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45792</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45792</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45792</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45792</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45792</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45792</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45792</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45792</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45792</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45792</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45792</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45792</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45792</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45792</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45792</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45792</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45792</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45792</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45792</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45792</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45792</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45792</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45792</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45792</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45792</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45792</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45792</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45792</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45792</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45792</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45792</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45792</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45792</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45792</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45792</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45792</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45792</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45792</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45792</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45792</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45792</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45792</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45792</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45792</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45792</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45792</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45792</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45792</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45792</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45792</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45792</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45792</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45792</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45792</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45792</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45792</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45792</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45792</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45792</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45792</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45792</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45792</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45792</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45792</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45792</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45792</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45792</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45792</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45792</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45792</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45792</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45792</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45792</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45792</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45792</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45792</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45792</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45792</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45792</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45792</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45792</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45792</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45792</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45792</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45792</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45792</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45792</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45792</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45792</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45792</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45792</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45792</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45792</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45792</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45792</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45792</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45792</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45792</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45792</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45792</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45792</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45792</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45792</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45792</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45792</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45792</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45792</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45792</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45792</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45792</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45792</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45792</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45792</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45792</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45792</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45792</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45792</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45792</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45792</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45792</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45792</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45792</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45792</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45792</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45792</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45792</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45792</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45792</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45792</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45792</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45792</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45792</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45792</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45792</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45792</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45792</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45792</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45792</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45792</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45792</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45792</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45792</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45792</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45792</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45792</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45792</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45792</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45792</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45792</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45792</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45792</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45792</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45792</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45792</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45792</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45792</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45792</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45792</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45792</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45792</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45792</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45792</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45792</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45792</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45792</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45792</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45792</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45792</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45792</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45792</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45792</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45792</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45792</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45792</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45792</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45792</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45792</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45792</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45792</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45792</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45792</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45792</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45792</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45792</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45792</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45792</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45792</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45792</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45792</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45792</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45792</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45792</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45792</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45792</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45792</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45792</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45792</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45792</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45792</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45792</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45792</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45792</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45792</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45792</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45792</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45792</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45792</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45792</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45792</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45792</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45792</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45792</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45792</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45792</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45792</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45792</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45792</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45792</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45792</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45792</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45792</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45792</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45792</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45792</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45792</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45792</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45792</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45792</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45792</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45792</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45792</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45792</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45792</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45792</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45792</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45792</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45792</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45792</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45792</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45792</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45792</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45792</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45792</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45792</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45792</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45792</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45792</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45792</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45792</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45792</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45792</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45792</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45792</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45792</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45792</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45792</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45792</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45792</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45792</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45792</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45792</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45792</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45792</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45792</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45792</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45792</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45792</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45792</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45792</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45792</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45792</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45792</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45792</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45792</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45792</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45792</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45792</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45792</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45792</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45792</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45792</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45792</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45792</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45792</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45792</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45792</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45792</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45792</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45792</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45792</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45792</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45792</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45792</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45792</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45792</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45792</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45792</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45792</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45792</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45792</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45792</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45792</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45792</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45792</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45792</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45792</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45792</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45792</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45792</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45792</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45792</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45792</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45792</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45792</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45792</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45792</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45792</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45792</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45792</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45792</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45792</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45792</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45792</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45792</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45792</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45792</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45792</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45792</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45792</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45792</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45792</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45792</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45792</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45792</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45792</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45792</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45792</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45792</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45792</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45792</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45792</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45792</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45792</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45792</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45792</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45792</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45792</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45792</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45792</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45792</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45792</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45792</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45792</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45792</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45792</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45792</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45792</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45792</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45792</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45792</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45792</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45792</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45792</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45792</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45792</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45792</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45792</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45792</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45792</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45792</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45792</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45792</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45792</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45792</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45792</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45792</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45792</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45792</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45792</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45792</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45792</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45792</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45792</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45792</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45792</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45792</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45792</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45792</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45792</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45792</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45792</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45792</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45792</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45792</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45792</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45792</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45792</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45792</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45792</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45792</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45792</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45792</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45792</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45792</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45792</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45792</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45792</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45792</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45792</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45792</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45792</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45792</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45792</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45792</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45792</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45792</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45792</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45792</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45792</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45792</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45792</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45792</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45792</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45792</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45792</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45792</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45792</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45792</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45792</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45792</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45792</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45792</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45792</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45792</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45792</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45792</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45792</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45792</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45792</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45792</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45792</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45792</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45792</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45792</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45792</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45792</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45792</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45792</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45792</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45792</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45792</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45792</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45792</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45792</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45792</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45792</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45792</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45792</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45792</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45792</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45792</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45792</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45792</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45792</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45792</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45792</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45792</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45792</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45792</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45792</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45792</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45792</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45792</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45792</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45792</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45792</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45792</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45792</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45792</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45792</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45792</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45792</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45792</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45792</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45792</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45792</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45792</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45792</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45792</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45792</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45792</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45792</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45792</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45792</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45792</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45792</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45792</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45792</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45792</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45792</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45792</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45792</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45792</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45792</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45792</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45792</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45792</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45792</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45792</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45792</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45792</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45792</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45792</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45792</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45792</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45792</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45792</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45792</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45792</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45792</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45792</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45792</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45792</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45792</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45792</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45792</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45792</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45792</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45792</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45792</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45792</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45792</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45792</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45792</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45792</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45792</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45792</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45792</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45792</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45792</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45792</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45792</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45792</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45792</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45792</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45792</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45792</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45792</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45792</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45792</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45792</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45792</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45792</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45792</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45792</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45792</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45792</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45792</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45792</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45792</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45792</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45792</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45792</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45792</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45792</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45792</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45792</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45792</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45792</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45792</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45792</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45792</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45792</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45792</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45792</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45792</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45792</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45792</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45792</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45792</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45792</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45792</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45792</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45792</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45792</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45792</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45792</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45792</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45792</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45792</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45792</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45792</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45792</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45792</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45792</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45792</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45792</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45792</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45792</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45792</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45792</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45792</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45792</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45792</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45792</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45792</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45792</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45792</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45792</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45792</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45792</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45792</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45792</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45792</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45792</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45792</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45792</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45792</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45792</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45792</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45792</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45792</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45792</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45792</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45792</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45792</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45792</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45792</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45792</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45792</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45792</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45792</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45792</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45792</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45792</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45792</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45792</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45792</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45792</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45792</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45792</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45792</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45792</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45792</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45792</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45792</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45792</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45792</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45792</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45792</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45792</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45792</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45792</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45792</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45792</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45792</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45792</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45792</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45792</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45792</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45792</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45792</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45792</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45792</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45792</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45792</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45792</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45792</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45792</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45792</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45792</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45792</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45792</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45792</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45792</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45792</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45792</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45792</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45792</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45792</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45792</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45792</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45792</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45792</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45792</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45792</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45792</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45792</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45792</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45792</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45792</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45792</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45792</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45792</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45792</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45792</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45792</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45792</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45792</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45792</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45792</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45792</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45792</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45792</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45792</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45792</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45792</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45792</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45792</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45792</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45792</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45792</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45792</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45792</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45792</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45792</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45792</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45792</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45792</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45792</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45792</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45792</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45792</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45792</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45792</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45792</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45792</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45792</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45792</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45792</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45792</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45792</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45792</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45792</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45792</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45792</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45792</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45792</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45792</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45792</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45792</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45792</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45792</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45792</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45792</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45792</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45792</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45792</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45792</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45792</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45792</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45792</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45792</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45792</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45792</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45792</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45792</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45792</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45792</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45792</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45792</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45792</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45792</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45792</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45792</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45792</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45792</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45792</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45792</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45792</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45792</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45792</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45792</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45792</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45792</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45792</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45792</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45792</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45792</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45792</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45792</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45792</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45792</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45792</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45792</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45792</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45792</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45792</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45792</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45792</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45792</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45792</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45792</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45792</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45792</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45792</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45792</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45792</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45792</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45792</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45792</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45792</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45792</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45792</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45792</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45792</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45792</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45792</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45792</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45792</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45792</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45792</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45792</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45792</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45792</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45792</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45792</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45792</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45792</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45792</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45792</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45792</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45792</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45792</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45792</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45792</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45792</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45792</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45792</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45792</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45792</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45792</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45792</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45792</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45792</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45792</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45792</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45792</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45792</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45792</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45792</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45792</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45792</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45792</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45792</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45792</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45792</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45792</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45792</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45792</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45792</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45792</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45792</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45792</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45792</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45792</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45792</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45792</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45792</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45792</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45792</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45792</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45792</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45792</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45792</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45792</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45792</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45792</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45792</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45792</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45792</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45792</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45792</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45792</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45792</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45792</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45792</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45792</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45792</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45792</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45792</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45792</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45792</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45792</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45792</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45792</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45792</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45792</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45792</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45792</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45792</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45792</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45792</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45792</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45792</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45792</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45792</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45792</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45792</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45792</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45792</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45792</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45792</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45792</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45792</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45792</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45792</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45792</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45792</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45792</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45792</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45792</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45792</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45792</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45792</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45792</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45792</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45792</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45792</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45792</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45792</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45792</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45792</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45792</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45792</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45792</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45792</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45792</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45792</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45792</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45792</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45792</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45792</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45792</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45792</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45792</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45792</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45792</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45792</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45792</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45792</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45792</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45792</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45792</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45792</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45792</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45792</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45792</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45792</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45792</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45792</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45792</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45792</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45792</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45792</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45792</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45792</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45792</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45792</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45792</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45792</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45792</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45792</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45792</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45792</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45792</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45792</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45792</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45792</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45792</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45792</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45792</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45792</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45792</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45792</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45792</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45792</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45792</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45792</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45792</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45792</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45792</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45792</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45792</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45792</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45792</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45792</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45792</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45792</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45792</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45792</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45792</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45792</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45792</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45792</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45792</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45792</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45792</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45792</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45792</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45792</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45792</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45792</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45792</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45792</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45792</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45792</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45792</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45792</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45792</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45792</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45792</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45792</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45792</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45792</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45792</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45792</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45792</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45792</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45792</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45792</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45792</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45792</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45792</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45792</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45792</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45792</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45792</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45792</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45792</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45792</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45792</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45792</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45792</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45792</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45792</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45792</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45792</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45792</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45792</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45792</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45792</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45792</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45792</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45792</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45792</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45792</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45792</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45792</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45792</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45792</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45792</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45792</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45792</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45792</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45792</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45792</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45792</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45792</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45792</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45792</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45792</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45792</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45792</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45792</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45792</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45792</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45792</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45792</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45792</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45792</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45792</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45792</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45792</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45792</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45792</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45792</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45792</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45792</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45792</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45792</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45792</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45792</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45792</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45792</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45792</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45792</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45792</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45792</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45792</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45792</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45792</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45792</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45792</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45792</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45792</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45792</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45792</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45792</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45792</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45792</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45792</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45792</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45792</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45792</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45792</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45792</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45792</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45792</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45792</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45792</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45792</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45792</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45792</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45792</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45792</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45792</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45792</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45792</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45792</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45792</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45792</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45792</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45792</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45792</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45792</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45792</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45792</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45792</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45792</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45792</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45792</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45792</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45792</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45792</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45792</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45792</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45792</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45792</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45792</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45792</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45792</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45792</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45792</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45792</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45792</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45792</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45792</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45792</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45792</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45792</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45792</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45792</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45792</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45792</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45792</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45792</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45792</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45792</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45792</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45792</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45792</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45792</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45792</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45792</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45792</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45792</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45792</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45792</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45792</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45792</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45792</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45792</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45792</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45792</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45792</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45792</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45792</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45792</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45792</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45792</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45792</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45792</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45792</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45792</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45792</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45792</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45792</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45792</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45792</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45792</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45792</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45792</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45792</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45792</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45792</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45792</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45792</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45792</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45792</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45792</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45792</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45792</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45792</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45792</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45792</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45792</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45792</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45792</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45792</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45792</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45792</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45792</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45792</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45792</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45792</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45792</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45792</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45792</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45792</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45792</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45792</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45792</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45792</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45792</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45792</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45792</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45792</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45792</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45792</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45792</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45792</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45792</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45792</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45792</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45792</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45792</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45792</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45792</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45792</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45792</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45792</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45792</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45792</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45792</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45792</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45792</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45792</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45792</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45792</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45792</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45792</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45792</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45792</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45792</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45792</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45792</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45792</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45792</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45792</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45792</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45792</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45792</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45792</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45792</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45792</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45792</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45792</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45792</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45792</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45792</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45792</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45792</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45792</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45792</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45792</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45792</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45792</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45792</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45792</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45792</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45792</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45792</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45792</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45792</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45792</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45792</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45792</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45792</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45792</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45792</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45792</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45792</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45792</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45792</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45792</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45792</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45792</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45792</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45792</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45792</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45792</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45792</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45792</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45792</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45792</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45792</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45792</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45792</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45792</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45792</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45792</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45792</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45792</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45792</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45792</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45792</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45792</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45792</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45792</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45792</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45792</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45792</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45792</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45792</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45792</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45792</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45792</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45792</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45792</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45792</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45792</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45792</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45792</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45792</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45792</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45792</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45792</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45792</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45792</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45792</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45792</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45792</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45792</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45792</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45792</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45792</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45792</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45792</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45792</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45792</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45792</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45792</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45792</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45792</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45792</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45792</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45792</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45792</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45792</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45792</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45792</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45792</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45792</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45792</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45792</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45792</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45792</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45792</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45792</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45792</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45792</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45792</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45792</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45792</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45792</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45792</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45792</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45792</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45792</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45792</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45792</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45792</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45792</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45792</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45792</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45792</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45792</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45792</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45792</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45792</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45792</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45792</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45792</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45792</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45792</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45792</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45792</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45792</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45792</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45792</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45792</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45792</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45792</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45792</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45792</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45792</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45792</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45792</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45792</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45792</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45792</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45792</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45792</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45792</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45792</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45792</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45792</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45792</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45792</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45792</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45792</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45792</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45792</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45792</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45792</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45792</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45792</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45792</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45792</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45792</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45792</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45792</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45792</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45792</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45792</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45792</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45792</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45792</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45792</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45792</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45792</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45792</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45792</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45792</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45792</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45792</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45792</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45792</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45792</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45792</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45792</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45792</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45792</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45792</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45792</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45792</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45792</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45792</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45792</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45792</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45792</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45792</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45792</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45792</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45792</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45792</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45792</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45792</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45792</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45792</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45792</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45792</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45792</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45792</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45792</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45792</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45792</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45792</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45792</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45792</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45792</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45792</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45792</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45792</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45792</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45792</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45792</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45792</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45792</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45792</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45792</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45792</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45792</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45792</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45792</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45792</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45792</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45792</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45792</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45792</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45792</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45792</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45792</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45792</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45792</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45792</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45792</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45792</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45792</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45792</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45792</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45792</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45792</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45792</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45792</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45792</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45792</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45792</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45792</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45792</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45792</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45792</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45792</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45792</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45792</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45792</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45792</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45792</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45792</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45792</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45792</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45792</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45792</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45792</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45792</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45792</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45792</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45792</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45792</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45792</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45792</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45792</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45792</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45792</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45792</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45792</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45792</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45792</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45792</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45792</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45792</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45792</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45792</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45792</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45792</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45792</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45792</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45792</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45792</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45792</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45792</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45792</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45792</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45792</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45792</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45792</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45792</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45792</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45792</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45792</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45792</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45792</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45792</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45792</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45792</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45792</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45792</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45792</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45792</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45792</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45792</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45792</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45792</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45792</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45792</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45792</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45792</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45792</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45792</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45792</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45792</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45792</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45792</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45792</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45792</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45792</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45792</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45792</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45792</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45792</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45792</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45792</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45792</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45792</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45792</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45792</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45792</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45792</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45792</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45792</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45792</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45792</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45792</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45792</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45792</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45792</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45792</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45792</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45792</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45792</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45792</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45792</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45792</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45792</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45792</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45792</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45792</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45792</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45792</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45792</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45792</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45792</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45792</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45792</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45792</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45792</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45792</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45792</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45792</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45792</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45792</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45792</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45792</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45792</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45792</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45792</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45792</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45792</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45792</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45792</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45792</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45792</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45792</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45792</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45792</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45792</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45792</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45792</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45792</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45792</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45792</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45792</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45792</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45792</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45792</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45792</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45792</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45792</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45792</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45792</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45792</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45792</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45792</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45792</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45792</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45792</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45792</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45792</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45792</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45792</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45792</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45792</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45792</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45792</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45792</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45792</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45792</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45792</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45792</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45792</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45792</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45792</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45792</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45792</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45792</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45792</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45792</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45792</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45792</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45792</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45792</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45792</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45792</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45792</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45792</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45792</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45792</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45792</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45792</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45792</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45792</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45792</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45792</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45792</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45792</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45792</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45792</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45792</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45792</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45792</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45792</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45792</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45792</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45792</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45792</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45792</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45792</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45792</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45792</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45792</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45792</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45792</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45792</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45792</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45792</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45792</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45792</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45792</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45792</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45792</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45792</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45792</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45792</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45792</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45792</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45792</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45792</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45792</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45792</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45792</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45792</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45792</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45792</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45792</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45792</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45792</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45792</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45792</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45792</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45792</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45792</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45792</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45792</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45792</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45792</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45792</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45792</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45792</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45792</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45792</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45792</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45792</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45792</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45792</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45792</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45792</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45792</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45792</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45792</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45792</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45792</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45792</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45792</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45792</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45792</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45792</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45792</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45792</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45792</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45792</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45792</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45792</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45792</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45792</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45792</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45792</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45792</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45792</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45792</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45792</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45792</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45792</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45792</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45792</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45792</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45792</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45792</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45792</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45792</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45792</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45792</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45792</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45792</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45792</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45792</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45792</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45792</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45792</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45792</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45792</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45792</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45792</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45792</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45792</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45792</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45792</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45792</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45792</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45792</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45792</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45792</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45792</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45792</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45792</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45792</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45792</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45792</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45792</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45792</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45792</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45792</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45792</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45792</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45792</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45792</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45792</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45792</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45792</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45792</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45792</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45792</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45792</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45792</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45792</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45792</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45792</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45792</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45792</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45792</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45792</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45792</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45792</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45792</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45792</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45792</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45792</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45792</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45792</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45792</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45792</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45792</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45792</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45792</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45792</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45792</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45792</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45792</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45792</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45792</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45792</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45792</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45792</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45792</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45792</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45792</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45792</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45792</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45792</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45792</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45792</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45792</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45792</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45792</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45792</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45792</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45792</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45792</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45792</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45792</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45792</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45792</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45792</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45792</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45792</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45792</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45792</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45792</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45792</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45792</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45792</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45792</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45792</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45792</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45792</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45792</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45792</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45792</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45792</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45792</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45792</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45792</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45792</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45792</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45792</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45792</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45792</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45792</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45792</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45792</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45792</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45792</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45792</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45792</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45792</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45792</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45792</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45792</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45792</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45792</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45792</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45792</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45792</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45792</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45792</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45792</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45792</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45792</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45792</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45792</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45792</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45792</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45792</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45792</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45792</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45792</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45792</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45792</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45792</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45792</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17683-2025</t>
        </is>
      </c>
      <c r="B18930" s="1" t="n">
        <v>45758</v>
      </c>
      <c r="C18930" s="1" t="n">
        <v>45792</v>
      </c>
      <c r="D18930" t="inlineStr">
        <is>
          <t>VÄSTERBOTTENS LÄN</t>
        </is>
      </c>
      <c r="E18930" t="inlineStr">
        <is>
          <t>ÅSELE</t>
        </is>
      </c>
      <c r="F18930" t="inlineStr">
        <is>
          <t>SCA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17805-2025</t>
        </is>
      </c>
      <c r="B18931" s="1" t="n">
        <v>45758</v>
      </c>
      <c r="C18931" s="1" t="n">
        <v>45792</v>
      </c>
      <c r="D18931" t="inlineStr">
        <is>
          <t>VÄSTERBOTTENS LÄN</t>
        </is>
      </c>
      <c r="E18931" t="inlineStr">
        <is>
          <t>ÅSELE</t>
        </is>
      </c>
      <c r="F18931" t="inlineStr">
        <is>
          <t>SCA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17845-2025</t>
        </is>
      </c>
      <c r="B18932" s="1" t="n">
        <v>45758</v>
      </c>
      <c r="C18932" s="1" t="n">
        <v>45792</v>
      </c>
      <c r="D18932" t="inlineStr">
        <is>
          <t>VÄSTERBOTTENS LÄN</t>
        </is>
      </c>
      <c r="E18932" t="inlineStr">
        <is>
          <t>VINDELN</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17863-2025</t>
        </is>
      </c>
      <c r="B18933" s="1" t="n">
        <v>45758</v>
      </c>
      <c r="C18933" s="1" t="n">
        <v>45792</v>
      </c>
      <c r="D18933" t="inlineStr">
        <is>
          <t>VÄSTERBOTTENS LÄN</t>
        </is>
      </c>
      <c r="E18933" t="inlineStr">
        <is>
          <t>SORSELE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17688-2025</t>
        </is>
      </c>
      <c r="B18934" s="1" t="n">
        <v>45758</v>
      </c>
      <c r="C18934" s="1" t="n">
        <v>45792</v>
      </c>
      <c r="D18934" t="inlineStr">
        <is>
          <t>VÄSTERBOTTENS LÄN</t>
        </is>
      </c>
      <c r="E18934" t="inlineStr">
        <is>
          <t>LYCKSELE</t>
        </is>
      </c>
      <c r="F18934" t="inlineStr">
        <is>
          <t>Sveaskog</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17893-2025</t>
        </is>
      </c>
      <c r="B18935" s="1" t="n">
        <v>45758</v>
      </c>
      <c r="C18935" s="1" t="n">
        <v>45792</v>
      </c>
      <c r="D18935" t="inlineStr">
        <is>
          <t>VÄSTERBOTTENS LÄN</t>
        </is>
      </c>
      <c r="E18935" t="inlineStr">
        <is>
          <t>ROBERTSFORS</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17842-2025</t>
        </is>
      </c>
      <c r="B18936" s="1" t="n">
        <v>45758</v>
      </c>
      <c r="C18936" s="1" t="n">
        <v>45792</v>
      </c>
      <c r="D18936" t="inlineStr">
        <is>
          <t>VÄSTERBOTTENS LÄN</t>
        </is>
      </c>
      <c r="E18936" t="inlineStr">
        <is>
          <t>ÅSELE</t>
        </is>
      </c>
      <c r="F18936" t="inlineStr">
        <is>
          <t>SCA</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45792</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18033-2025</t>
        </is>
      </c>
      <c r="B18938" s="1" t="n">
        <v>45761</v>
      </c>
      <c r="C18938" s="1" t="n">
        <v>45792</v>
      </c>
      <c r="D18938" t="inlineStr">
        <is>
          <t>VÄSTERBOTTENS LÄN</t>
        </is>
      </c>
      <c r="E18938" t="inlineStr">
        <is>
          <t>SKELLEFTEÅ</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18082-2025</t>
        </is>
      </c>
      <c r="B18939" s="1" t="n">
        <v>45761</v>
      </c>
      <c r="C18939" s="1" t="n">
        <v>45792</v>
      </c>
      <c r="D18939" t="inlineStr">
        <is>
          <t>VÄSTERBOTTENS LÄN</t>
        </is>
      </c>
      <c r="E18939" t="inlineStr">
        <is>
          <t>SKELLEFTEÅ</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18030-2025</t>
        </is>
      </c>
      <c r="B18940" s="1" t="n">
        <v>45761</v>
      </c>
      <c r="C18940" s="1" t="n">
        <v>45792</v>
      </c>
      <c r="D18940" t="inlineStr">
        <is>
          <t>VÄSTERBOTTENS LÄN</t>
        </is>
      </c>
      <c r="E18940" t="inlineStr">
        <is>
          <t>SKELLEFTEÅ</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18167-2025</t>
        </is>
      </c>
      <c r="B18941" s="1" t="n">
        <v>45761</v>
      </c>
      <c r="C18941" s="1" t="n">
        <v>45792</v>
      </c>
      <c r="D18941" t="inlineStr">
        <is>
          <t>VÄSTERBOTTENS LÄN</t>
        </is>
      </c>
      <c r="E18941" t="inlineStr">
        <is>
          <t>SKELLEFTEÅ</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18174-2025</t>
        </is>
      </c>
      <c r="B18942" s="1" t="n">
        <v>45761</v>
      </c>
      <c r="C18942" s="1" t="n">
        <v>45792</v>
      </c>
      <c r="D18942" t="inlineStr">
        <is>
          <t>VÄSTERBOTTENS LÄN</t>
        </is>
      </c>
      <c r="E18942" t="inlineStr">
        <is>
          <t>VINDELN</t>
        </is>
      </c>
      <c r="F18942" t="inlineStr">
        <is>
          <t>Holmen skog AB</t>
        </is>
      </c>
      <c r="G18942" t="n">
        <v>11.3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18010-2025</t>
        </is>
      </c>
      <c r="B18943" s="1" t="n">
        <v>45761</v>
      </c>
      <c r="C18943" s="1" t="n">
        <v>45792</v>
      </c>
      <c r="D18943" t="inlineStr">
        <is>
          <t>VÄSTERBOTTENS LÄN</t>
        </is>
      </c>
      <c r="E18943" t="inlineStr">
        <is>
          <t>UMEÅ</t>
        </is>
      </c>
      <c r="F18943" t="inlineStr">
        <is>
          <t>Holmen skog AB</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18168-2025</t>
        </is>
      </c>
      <c r="B18944" s="1" t="n">
        <v>45761</v>
      </c>
      <c r="C18944" s="1" t="n">
        <v>45792</v>
      </c>
      <c r="D18944" t="inlineStr">
        <is>
          <t>VÄSTERBOTTENS LÄN</t>
        </is>
      </c>
      <c r="E18944" t="inlineStr">
        <is>
          <t>ROBERTSFORS</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18023-2025</t>
        </is>
      </c>
      <c r="B18945" s="1" t="n">
        <v>45761</v>
      </c>
      <c r="C18945" s="1" t="n">
        <v>45792</v>
      </c>
      <c r="D18945" t="inlineStr">
        <is>
          <t>VÄSTERBOTTENS LÄN</t>
        </is>
      </c>
      <c r="E18945" t="inlineStr">
        <is>
          <t>SKELLEFTEÅ</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18026-2025</t>
        </is>
      </c>
      <c r="B18946" s="1" t="n">
        <v>45761</v>
      </c>
      <c r="C18946" s="1" t="n">
        <v>45792</v>
      </c>
      <c r="D18946" t="inlineStr">
        <is>
          <t>VÄSTERBOTTENS LÄN</t>
        </is>
      </c>
      <c r="E18946" t="inlineStr">
        <is>
          <t>UMEÅ</t>
        </is>
      </c>
      <c r="G18946" t="n">
        <v>6.3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18098-2025</t>
        </is>
      </c>
      <c r="B18947" s="1" t="n">
        <v>45761</v>
      </c>
      <c r="C18947" s="1" t="n">
        <v>45792</v>
      </c>
      <c r="D18947" t="inlineStr">
        <is>
          <t>VÄSTERBOTTENS LÄN</t>
        </is>
      </c>
      <c r="E18947" t="inlineStr">
        <is>
          <t>SKELLEFTEÅ</t>
        </is>
      </c>
      <c r="G18947" t="n">
        <v>4.8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18108-2025</t>
        </is>
      </c>
      <c r="B18948" s="1" t="n">
        <v>45761</v>
      </c>
      <c r="C18948" s="1" t="n">
        <v>45792</v>
      </c>
      <c r="D18948" t="inlineStr">
        <is>
          <t>VÄSTERBOTTENS LÄN</t>
        </is>
      </c>
      <c r="E18948" t="inlineStr">
        <is>
          <t>UMEÅ</t>
        </is>
      </c>
      <c r="F18948" t="inlineStr">
        <is>
          <t>Holmen skog AB</t>
        </is>
      </c>
      <c r="G18948" t="n">
        <v>3.5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17971-2025</t>
        </is>
      </c>
      <c r="B18949" s="1" t="n">
        <v>45761</v>
      </c>
      <c r="C18949" s="1" t="n">
        <v>45792</v>
      </c>
      <c r="D18949" t="inlineStr">
        <is>
          <t>VÄSTERBOTTENS LÄN</t>
        </is>
      </c>
      <c r="E18949" t="inlineStr">
        <is>
          <t>STORUMAN</t>
        </is>
      </c>
      <c r="F18949" t="inlineStr">
        <is>
          <t>Allmännings- och besparingsskogar</t>
        </is>
      </c>
      <c r="G18949" t="n">
        <v>0.2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17961-2025</t>
        </is>
      </c>
      <c r="B18950" s="1" t="n">
        <v>45761</v>
      </c>
      <c r="C18950" s="1" t="n">
        <v>45792</v>
      </c>
      <c r="D18950" t="inlineStr">
        <is>
          <t>VÄSTERBOTTENS LÄN</t>
        </is>
      </c>
      <c r="E18950" t="inlineStr">
        <is>
          <t>SKELLEFTEÅ</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17982-2025</t>
        </is>
      </c>
      <c r="B18951" s="1" t="n">
        <v>45761</v>
      </c>
      <c r="C18951" s="1" t="n">
        <v>45792</v>
      </c>
      <c r="D18951" t="inlineStr">
        <is>
          <t>VÄSTERBOTTENS LÄN</t>
        </is>
      </c>
      <c r="E18951" t="inlineStr">
        <is>
          <t>LYCKSELE</t>
        </is>
      </c>
      <c r="G18951" t="n">
        <v>4.8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45792</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18064-2025</t>
        </is>
      </c>
      <c r="B18953" s="1" t="n">
        <v>45761</v>
      </c>
      <c r="C18953" s="1" t="n">
        <v>45792</v>
      </c>
      <c r="D18953" t="inlineStr">
        <is>
          <t>VÄSTERBOTTENS LÄN</t>
        </is>
      </c>
      <c r="E18953" t="inlineStr">
        <is>
          <t>SKELLEFTEÅ</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18031-2025</t>
        </is>
      </c>
      <c r="B18954" s="1" t="n">
        <v>45761</v>
      </c>
      <c r="C18954" s="1" t="n">
        <v>45792</v>
      </c>
      <c r="D18954" t="inlineStr">
        <is>
          <t>VÄSTERBOTTENS LÄN</t>
        </is>
      </c>
      <c r="E18954" t="inlineStr">
        <is>
          <t>ÅSELE</t>
        </is>
      </c>
      <c r="G18954" t="n">
        <v>7.6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18034-2025</t>
        </is>
      </c>
      <c r="B18955" s="1" t="n">
        <v>45761</v>
      </c>
      <c r="C18955" s="1" t="n">
        <v>45792</v>
      </c>
      <c r="D18955" t="inlineStr">
        <is>
          <t>VÄSTERBOTTENS LÄN</t>
        </is>
      </c>
      <c r="E18955" t="inlineStr">
        <is>
          <t>ÅSELE</t>
        </is>
      </c>
      <c r="G18955" t="n">
        <v>6.7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18301-2025</t>
        </is>
      </c>
      <c r="B18956" s="1" t="n">
        <v>45762</v>
      </c>
      <c r="C18956" s="1" t="n">
        <v>45792</v>
      </c>
      <c r="D18956" t="inlineStr">
        <is>
          <t>VÄSTERBOTTENS LÄN</t>
        </is>
      </c>
      <c r="E18956" t="inlineStr">
        <is>
          <t>ÅSELE</t>
        </is>
      </c>
      <c r="G18956" t="n">
        <v>7.1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18317-2025</t>
        </is>
      </c>
      <c r="B18957" s="1" t="n">
        <v>45762</v>
      </c>
      <c r="C18957" s="1" t="n">
        <v>45792</v>
      </c>
      <c r="D18957" t="inlineStr">
        <is>
          <t>VÄSTERBOTTENS LÄN</t>
        </is>
      </c>
      <c r="E18957" t="inlineStr">
        <is>
          <t>ÅSELE</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18339-2025</t>
        </is>
      </c>
      <c r="B18958" s="1" t="n">
        <v>45762</v>
      </c>
      <c r="C18958" s="1" t="n">
        <v>45792</v>
      </c>
      <c r="D18958" t="inlineStr">
        <is>
          <t>VÄSTERBOTTENS LÄN</t>
        </is>
      </c>
      <c r="E18958" t="inlineStr">
        <is>
          <t>LYCKSELE</t>
        </is>
      </c>
      <c r="F18958" t="inlineStr">
        <is>
          <t>Naturvårdsverket</t>
        </is>
      </c>
      <c r="G18958" t="n">
        <v>13.4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18396-2025</t>
        </is>
      </c>
      <c r="B18959" s="1" t="n">
        <v>45762</v>
      </c>
      <c r="C18959" s="1" t="n">
        <v>45792</v>
      </c>
      <c r="D18959" t="inlineStr">
        <is>
          <t>VÄSTERBOTTENS LÄN</t>
        </is>
      </c>
      <c r="E18959" t="inlineStr">
        <is>
          <t>VILHELMINA</t>
        </is>
      </c>
      <c r="F18959" t="inlineStr">
        <is>
          <t>SCA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18377-2025</t>
        </is>
      </c>
      <c r="B18960" s="1" t="n">
        <v>45762</v>
      </c>
      <c r="C18960" s="1" t="n">
        <v>45792</v>
      </c>
      <c r="D18960" t="inlineStr">
        <is>
          <t>VÄSTERBOTTENS LÄN</t>
        </is>
      </c>
      <c r="E18960" t="inlineStr">
        <is>
          <t>VÄNNÄS</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18380-2025</t>
        </is>
      </c>
      <c r="B18961" s="1" t="n">
        <v>45762</v>
      </c>
      <c r="C18961" s="1" t="n">
        <v>45792</v>
      </c>
      <c r="D18961" t="inlineStr">
        <is>
          <t>VÄSTERBOTTENS LÄN</t>
        </is>
      </c>
      <c r="E18961" t="inlineStr">
        <is>
          <t>VÄNNÄS</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18398-2025</t>
        </is>
      </c>
      <c r="B18962" s="1" t="n">
        <v>45762</v>
      </c>
      <c r="C18962" s="1" t="n">
        <v>45792</v>
      </c>
      <c r="D18962" t="inlineStr">
        <is>
          <t>VÄSTERBOTTENS LÄN</t>
        </is>
      </c>
      <c r="E18962" t="inlineStr">
        <is>
          <t>VILHELMINA</t>
        </is>
      </c>
      <c r="F18962" t="inlineStr">
        <is>
          <t>SCA</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18287-2025</t>
        </is>
      </c>
      <c r="B18963" s="1" t="n">
        <v>45762</v>
      </c>
      <c r="C18963" s="1" t="n">
        <v>45792</v>
      </c>
      <c r="D18963" t="inlineStr">
        <is>
          <t>VÄSTERBOTTENS LÄN</t>
        </is>
      </c>
      <c r="E18963" t="inlineStr">
        <is>
          <t>DOROTEA</t>
        </is>
      </c>
      <c r="F18963" t="inlineStr">
        <is>
          <t>SCA</t>
        </is>
      </c>
      <c r="G18963" t="n">
        <v>7.1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18326-2025</t>
        </is>
      </c>
      <c r="B18964" s="1" t="n">
        <v>45762</v>
      </c>
      <c r="C18964" s="1" t="n">
        <v>45792</v>
      </c>
      <c r="D18964" t="inlineStr">
        <is>
          <t>VÄSTERBOTTENS LÄN</t>
        </is>
      </c>
      <c r="E18964" t="inlineStr">
        <is>
          <t>SKELLEFTEÅ</t>
        </is>
      </c>
      <c r="G18964" t="n">
        <v>3.1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18240-2025</t>
        </is>
      </c>
      <c r="B18965" s="1" t="n">
        <v>45762</v>
      </c>
      <c r="C18965" s="1" t="n">
        <v>45792</v>
      </c>
      <c r="D18965" t="inlineStr">
        <is>
          <t>VÄSTERBOTTENS LÄN</t>
        </is>
      </c>
      <c r="E18965" t="inlineStr">
        <is>
          <t>SKELLEFTEÅ</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18275-2025</t>
        </is>
      </c>
      <c r="B18966" s="1" t="n">
        <v>45762</v>
      </c>
      <c r="C18966" s="1" t="n">
        <v>45792</v>
      </c>
      <c r="D18966" t="inlineStr">
        <is>
          <t>VÄSTERBOTTENS LÄN</t>
        </is>
      </c>
      <c r="E18966" t="inlineStr">
        <is>
          <t>VINDELN</t>
        </is>
      </c>
      <c r="F18966" t="inlineStr">
        <is>
          <t>Holmen skog AB</t>
        </is>
      </c>
      <c r="G18966" t="n">
        <v>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18441-2025</t>
        </is>
      </c>
      <c r="B18967" s="1" t="n">
        <v>45762</v>
      </c>
      <c r="C18967" s="1" t="n">
        <v>45792</v>
      </c>
      <c r="D18967" t="inlineStr">
        <is>
          <t>VÄSTERBOTTENS LÄN</t>
        </is>
      </c>
      <c r="E18967" t="inlineStr">
        <is>
          <t>SKELLEFTEÅ</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18291-2025</t>
        </is>
      </c>
      <c r="B18968" s="1" t="n">
        <v>45762</v>
      </c>
      <c r="C18968" s="1" t="n">
        <v>45792</v>
      </c>
      <c r="D18968" t="inlineStr">
        <is>
          <t>VÄSTERBOTTENS LÄN</t>
        </is>
      </c>
      <c r="E18968" t="inlineStr">
        <is>
          <t>SKELLEFTEÅ</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18443-2025</t>
        </is>
      </c>
      <c r="B18969" s="1" t="n">
        <v>45762</v>
      </c>
      <c r="C18969" s="1" t="n">
        <v>45792</v>
      </c>
      <c r="D18969" t="inlineStr">
        <is>
          <t>VÄSTERBOTTENS LÄN</t>
        </is>
      </c>
      <c r="E18969" t="inlineStr">
        <is>
          <t>SKELLEFTEÅ</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18397-2025</t>
        </is>
      </c>
      <c r="B18970" s="1" t="n">
        <v>45762</v>
      </c>
      <c r="C18970" s="1" t="n">
        <v>45792</v>
      </c>
      <c r="D18970" t="inlineStr">
        <is>
          <t>VÄSTERBOTTENS LÄN</t>
        </is>
      </c>
      <c r="E18970" t="inlineStr">
        <is>
          <t>VILHELMINA</t>
        </is>
      </c>
      <c r="F18970" t="inlineStr">
        <is>
          <t>SCA</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18262-2025</t>
        </is>
      </c>
      <c r="B18971" s="1" t="n">
        <v>45762</v>
      </c>
      <c r="C18971" s="1" t="n">
        <v>45792</v>
      </c>
      <c r="D18971" t="inlineStr">
        <is>
          <t>VÄSTERBOTTENS LÄN</t>
        </is>
      </c>
      <c r="E18971" t="inlineStr">
        <is>
          <t>LYCKSELE</t>
        </is>
      </c>
      <c r="F18971" t="inlineStr">
        <is>
          <t>SCA</t>
        </is>
      </c>
      <c r="G18971" t="n">
        <v>5.6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18394-2025</t>
        </is>
      </c>
      <c r="B18972" s="1" t="n">
        <v>45762</v>
      </c>
      <c r="C18972" s="1" t="n">
        <v>45792</v>
      </c>
      <c r="D18972" t="inlineStr">
        <is>
          <t>VÄSTERBOTTENS LÄN</t>
        </is>
      </c>
      <c r="E18972" t="inlineStr">
        <is>
          <t>VILHELMINA</t>
        </is>
      </c>
      <c r="F18972" t="inlineStr">
        <is>
          <t>SCA</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18307-2025</t>
        </is>
      </c>
      <c r="B18973" s="1" t="n">
        <v>45762</v>
      </c>
      <c r="C18973" s="1" t="n">
        <v>45792</v>
      </c>
      <c r="D18973" t="inlineStr">
        <is>
          <t>VÄSTERBOTTENS LÄN</t>
        </is>
      </c>
      <c r="E18973" t="inlineStr">
        <is>
          <t>ÅSELE</t>
        </is>
      </c>
      <c r="G18973" t="n">
        <v>13.3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18567-2025</t>
        </is>
      </c>
      <c r="B18974" s="1" t="n">
        <v>45763</v>
      </c>
      <c r="C18974" s="1" t="n">
        <v>45792</v>
      </c>
      <c r="D18974" t="inlineStr">
        <is>
          <t>VÄSTERBOTTENS LÄN</t>
        </is>
      </c>
      <c r="E18974" t="inlineStr">
        <is>
          <t>VINDELN</t>
        </is>
      </c>
      <c r="F18974" t="inlineStr">
        <is>
          <t>Holmen skog AB</t>
        </is>
      </c>
      <c r="G18974" t="n">
        <v>7.4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18489-2025</t>
        </is>
      </c>
      <c r="B18975" s="1" t="n">
        <v>45763</v>
      </c>
      <c r="C18975" s="1" t="n">
        <v>45792</v>
      </c>
      <c r="D18975" t="inlineStr">
        <is>
          <t>VÄSTERBOTTENS LÄN</t>
        </is>
      </c>
      <c r="E18975" t="inlineStr">
        <is>
          <t>VINDELN</t>
        </is>
      </c>
      <c r="F18975" t="inlineStr">
        <is>
          <t>Holmen skog AB</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18667-2025</t>
        </is>
      </c>
      <c r="B18976" s="1" t="n">
        <v>45763</v>
      </c>
      <c r="C18976" s="1" t="n">
        <v>45792</v>
      </c>
      <c r="D18976" t="inlineStr">
        <is>
          <t>VÄSTERBOTTENS LÄN</t>
        </is>
      </c>
      <c r="E18976" t="inlineStr">
        <is>
          <t>NORSJÖ</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18668-2025</t>
        </is>
      </c>
      <c r="B18977" s="1" t="n">
        <v>45763</v>
      </c>
      <c r="C18977" s="1" t="n">
        <v>45792</v>
      </c>
      <c r="D18977" t="inlineStr">
        <is>
          <t>VÄSTERBOTTENS LÄN</t>
        </is>
      </c>
      <c r="E18977" t="inlineStr">
        <is>
          <t>NORSJÖ</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18649-2025</t>
        </is>
      </c>
      <c r="B18978" s="1" t="n">
        <v>45763</v>
      </c>
      <c r="C18978" s="1" t="n">
        <v>45792</v>
      </c>
      <c r="D18978" t="inlineStr">
        <is>
          <t>VÄSTERBOTTENS LÄN</t>
        </is>
      </c>
      <c r="E18978" t="inlineStr">
        <is>
          <t>NORDMALING</t>
        </is>
      </c>
      <c r="F18978" t="inlineStr">
        <is>
          <t>SCA</t>
        </is>
      </c>
      <c r="G18978" t="n">
        <v>3.5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18700-2025</t>
        </is>
      </c>
      <c r="B18979" s="1" t="n">
        <v>45763</v>
      </c>
      <c r="C18979" s="1" t="n">
        <v>45792</v>
      </c>
      <c r="D18979" t="inlineStr">
        <is>
          <t>VÄSTERBOTTENS LÄN</t>
        </is>
      </c>
      <c r="E18979" t="inlineStr">
        <is>
          <t>SKELLEFTEÅ</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18566-2025</t>
        </is>
      </c>
      <c r="B18980" s="1" t="n">
        <v>45763</v>
      </c>
      <c r="C18980" s="1" t="n">
        <v>45792</v>
      </c>
      <c r="D18980" t="inlineStr">
        <is>
          <t>VÄSTERBOTTENS LÄN</t>
        </is>
      </c>
      <c r="E18980" t="inlineStr">
        <is>
          <t>LYCKSELE</t>
        </is>
      </c>
      <c r="F18980" t="inlineStr">
        <is>
          <t>Holmen skog AB</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18568-2025</t>
        </is>
      </c>
      <c r="B18981" s="1" t="n">
        <v>45763</v>
      </c>
      <c r="C18981" s="1" t="n">
        <v>45792</v>
      </c>
      <c r="D18981" t="inlineStr">
        <is>
          <t>VÄSTERBOTTENS LÄN</t>
        </is>
      </c>
      <c r="E18981" t="inlineStr">
        <is>
          <t>NORDMALING</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18598-2025</t>
        </is>
      </c>
      <c r="B18982" s="1" t="n">
        <v>45763</v>
      </c>
      <c r="C18982" s="1" t="n">
        <v>45792</v>
      </c>
      <c r="D18982" t="inlineStr">
        <is>
          <t>VÄSTERBOTTENS LÄN</t>
        </is>
      </c>
      <c r="E18982" t="inlineStr">
        <is>
          <t>VINDELN</t>
        </is>
      </c>
      <c r="F18982" t="inlineStr">
        <is>
          <t>Naturvårdsverket</t>
        </is>
      </c>
      <c r="G18982" t="n">
        <v>4.6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18666-2025</t>
        </is>
      </c>
      <c r="B18983" s="1" t="n">
        <v>45763</v>
      </c>
      <c r="C18983" s="1" t="n">
        <v>45792</v>
      </c>
      <c r="D18983" t="inlineStr">
        <is>
          <t>VÄSTERBOTTENS LÄN</t>
        </is>
      </c>
      <c r="E18983" t="inlineStr">
        <is>
          <t>NORSJÖ</t>
        </is>
      </c>
      <c r="G18983" t="n">
        <v>0.7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18720-2025</t>
        </is>
      </c>
      <c r="B18984" s="1" t="n">
        <v>45763</v>
      </c>
      <c r="C18984" s="1" t="n">
        <v>45792</v>
      </c>
      <c r="D18984" t="inlineStr">
        <is>
          <t>VÄSTERBOTTENS LÄN</t>
        </is>
      </c>
      <c r="E18984" t="inlineStr">
        <is>
          <t>UMEÅ</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18594-2025</t>
        </is>
      </c>
      <c r="B18985" s="1" t="n">
        <v>45763</v>
      </c>
      <c r="C18985" s="1" t="n">
        <v>45792</v>
      </c>
      <c r="D18985" t="inlineStr">
        <is>
          <t>VÄSTERBOTTENS LÄN</t>
        </is>
      </c>
      <c r="E18985" t="inlineStr">
        <is>
          <t>LYCKSELE</t>
        </is>
      </c>
      <c r="F18985" t="inlineStr">
        <is>
          <t>Holmen skog AB</t>
        </is>
      </c>
      <c r="G18985" t="n">
        <v>6.2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18688-2025</t>
        </is>
      </c>
      <c r="B18986" s="1" t="n">
        <v>45763</v>
      </c>
      <c r="C18986" s="1" t="n">
        <v>45792</v>
      </c>
      <c r="D18986" t="inlineStr">
        <is>
          <t>VÄSTERBOTTENS LÄN</t>
        </is>
      </c>
      <c r="E18986" t="inlineStr">
        <is>
          <t>LYCKSELE</t>
        </is>
      </c>
      <c r="G18986" t="n">
        <v>9.9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18637-2025</t>
        </is>
      </c>
      <c r="B18987" s="1" t="n">
        <v>45763</v>
      </c>
      <c r="C18987" s="1" t="n">
        <v>45792</v>
      </c>
      <c r="D18987" t="inlineStr">
        <is>
          <t>VÄSTERBOTTENS LÄN</t>
        </is>
      </c>
      <c r="E18987" t="inlineStr">
        <is>
          <t>SKELLEFTEÅ</t>
        </is>
      </c>
      <c r="G18987" t="n">
        <v>8.300000000000001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18482-2025</t>
        </is>
      </c>
      <c r="B18988" s="1" t="n">
        <v>45763</v>
      </c>
      <c r="C18988" s="1" t="n">
        <v>45792</v>
      </c>
      <c r="D18988" t="inlineStr">
        <is>
          <t>VÄSTERBOTTENS LÄN</t>
        </is>
      </c>
      <c r="E18988" t="inlineStr">
        <is>
          <t>VINDELN</t>
        </is>
      </c>
      <c r="F18988" t="inlineStr">
        <is>
          <t>Holmen skog AB</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18632-2025</t>
        </is>
      </c>
      <c r="B18989" s="1" t="n">
        <v>45763</v>
      </c>
      <c r="C18989" s="1" t="n">
        <v>45792</v>
      </c>
      <c r="D18989" t="inlineStr">
        <is>
          <t>VÄSTERBOTTENS LÄN</t>
        </is>
      </c>
      <c r="E18989" t="inlineStr">
        <is>
          <t>LYCKSELE</t>
        </is>
      </c>
      <c r="F18989" t="inlineStr">
        <is>
          <t>Naturvårdsverket</t>
        </is>
      </c>
      <c r="G18989" t="n">
        <v>11.5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18709-2025</t>
        </is>
      </c>
      <c r="B18990" s="1" t="n">
        <v>45763</v>
      </c>
      <c r="C18990" s="1" t="n">
        <v>45792</v>
      </c>
      <c r="D18990" t="inlineStr">
        <is>
          <t>VÄSTERBOTTENS LÄN</t>
        </is>
      </c>
      <c r="E18990" t="inlineStr">
        <is>
          <t>LYCKSELE</t>
        </is>
      </c>
      <c r="F18990" t="inlineStr">
        <is>
          <t>Naturvårdsverket</t>
        </is>
      </c>
      <c r="G18990" t="n">
        <v>6.8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18498-2025</t>
        </is>
      </c>
      <c r="B18991" s="1" t="n">
        <v>45763</v>
      </c>
      <c r="C18991" s="1" t="n">
        <v>45792</v>
      </c>
      <c r="D18991" t="inlineStr">
        <is>
          <t>VÄSTERBOTTENS LÄN</t>
        </is>
      </c>
      <c r="E18991" t="inlineStr">
        <is>
          <t>SKELLEFTEÅ</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18674-2025</t>
        </is>
      </c>
      <c r="B18992" s="1" t="n">
        <v>45763</v>
      </c>
      <c r="C18992" s="1" t="n">
        <v>45792</v>
      </c>
      <c r="D18992" t="inlineStr">
        <is>
          <t>VÄSTERBOTTENS LÄN</t>
        </is>
      </c>
      <c r="E18992" t="inlineStr">
        <is>
          <t>LYCKSELE</t>
        </is>
      </c>
      <c r="F18992" t="inlineStr">
        <is>
          <t>Holmen skog AB</t>
        </is>
      </c>
      <c r="G18992" t="n">
        <v>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18705-2025</t>
        </is>
      </c>
      <c r="B18993" s="1" t="n">
        <v>45763</v>
      </c>
      <c r="C18993" s="1" t="n">
        <v>45792</v>
      </c>
      <c r="D18993" t="inlineStr">
        <is>
          <t>VÄSTERBOTTENS LÄN</t>
        </is>
      </c>
      <c r="E18993" t="inlineStr">
        <is>
          <t>LYCKSELE</t>
        </is>
      </c>
      <c r="F18993" t="inlineStr">
        <is>
          <t>Holmen skog AB</t>
        </is>
      </c>
      <c r="G18993" t="n">
        <v>13.6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18670-2025</t>
        </is>
      </c>
      <c r="B18994" s="1" t="n">
        <v>45763</v>
      </c>
      <c r="C18994" s="1" t="n">
        <v>45792</v>
      </c>
      <c r="D18994" t="inlineStr">
        <is>
          <t>VÄSTERBOTTENS LÄN</t>
        </is>
      </c>
      <c r="E18994" t="inlineStr">
        <is>
          <t>NORSJÖ</t>
        </is>
      </c>
      <c r="G18994" t="n">
        <v>0.7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18693-2025</t>
        </is>
      </c>
      <c r="B18995" s="1" t="n">
        <v>45763</v>
      </c>
      <c r="C18995" s="1" t="n">
        <v>45792</v>
      </c>
      <c r="D18995" t="inlineStr">
        <is>
          <t>VÄSTERBOTTENS LÄN</t>
        </is>
      </c>
      <c r="E18995" t="inlineStr">
        <is>
          <t>ÅSELE</t>
        </is>
      </c>
      <c r="F18995" t="inlineStr">
        <is>
          <t>SCA</t>
        </is>
      </c>
      <c r="G18995" t="n">
        <v>10.3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18497-2025</t>
        </is>
      </c>
      <c r="B18996" s="1" t="n">
        <v>45763</v>
      </c>
      <c r="C18996" s="1" t="n">
        <v>45792</v>
      </c>
      <c r="D18996" t="inlineStr">
        <is>
          <t>VÄSTERBOTTENS LÄN</t>
        </is>
      </c>
      <c r="E18996" t="inlineStr">
        <is>
          <t>SKELLEFTEÅ</t>
        </is>
      </c>
      <c r="G18996" t="n">
        <v>4.8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45792</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19020-2025</t>
        </is>
      </c>
      <c r="B18998" s="1" t="n">
        <v>45764</v>
      </c>
      <c r="C18998" s="1" t="n">
        <v>45792</v>
      </c>
      <c r="D18998" t="inlineStr">
        <is>
          <t>VÄSTERBOTTENS LÄN</t>
        </is>
      </c>
      <c r="E18998" t="inlineStr">
        <is>
          <t>DOROTEA</t>
        </is>
      </c>
      <c r="F18998" t="inlineStr">
        <is>
          <t>SCA</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18810-2025</t>
        </is>
      </c>
      <c r="B18999" s="1" t="n">
        <v>45764</v>
      </c>
      <c r="C18999" s="1" t="n">
        <v>45792</v>
      </c>
      <c r="D18999" t="inlineStr">
        <is>
          <t>VÄSTERBOTTENS LÄN</t>
        </is>
      </c>
      <c r="E18999" t="inlineStr">
        <is>
          <t>LYCKSELE</t>
        </is>
      </c>
      <c r="F18999" t="inlineStr">
        <is>
          <t>Holmen skog AB</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18848-2025</t>
        </is>
      </c>
      <c r="B19000" s="1" t="n">
        <v>45764</v>
      </c>
      <c r="C19000" s="1" t="n">
        <v>45792</v>
      </c>
      <c r="D19000" t="inlineStr">
        <is>
          <t>VÄSTERBOTTENS LÄN</t>
        </is>
      </c>
      <c r="E19000" t="inlineStr">
        <is>
          <t>VILHELMINA</t>
        </is>
      </c>
      <c r="G19000" t="n">
        <v>16.4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18796-2025</t>
        </is>
      </c>
      <c r="B19001" s="1" t="n">
        <v>45764</v>
      </c>
      <c r="C19001" s="1" t="n">
        <v>45792</v>
      </c>
      <c r="D19001" t="inlineStr">
        <is>
          <t>VÄSTERBOTTENS LÄN</t>
        </is>
      </c>
      <c r="E19001" t="inlineStr">
        <is>
          <t>NORDMALING</t>
        </is>
      </c>
      <c r="F19001" t="inlineStr">
        <is>
          <t>SCA</t>
        </is>
      </c>
      <c r="G19001" t="n">
        <v>2.8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18889-2025</t>
        </is>
      </c>
      <c r="B19002" s="1" t="n">
        <v>45764</v>
      </c>
      <c r="C19002" s="1" t="n">
        <v>45792</v>
      </c>
      <c r="D19002" t="inlineStr">
        <is>
          <t>VÄSTERBOTTENS LÄN</t>
        </is>
      </c>
      <c r="E19002" t="inlineStr">
        <is>
          <t>UMEÅ</t>
        </is>
      </c>
      <c r="F19002" t="inlineStr">
        <is>
          <t>Holmen skog AB</t>
        </is>
      </c>
      <c r="G19002" t="n">
        <v>8.1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18929-2025</t>
        </is>
      </c>
      <c r="B19003" s="1" t="n">
        <v>45764</v>
      </c>
      <c r="C19003" s="1" t="n">
        <v>45792</v>
      </c>
      <c r="D19003" t="inlineStr">
        <is>
          <t>VÄSTERBOTTENS LÄN</t>
        </is>
      </c>
      <c r="E19003" t="inlineStr">
        <is>
          <t>SKELLEFTEÅ</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18936-2025</t>
        </is>
      </c>
      <c r="B19004" s="1" t="n">
        <v>45764</v>
      </c>
      <c r="C19004" s="1" t="n">
        <v>45792</v>
      </c>
      <c r="D19004" t="inlineStr">
        <is>
          <t>VÄSTERBOTTENS LÄN</t>
        </is>
      </c>
      <c r="E19004" t="inlineStr">
        <is>
          <t>ÅSELE</t>
        </is>
      </c>
      <c r="F19004" t="inlineStr">
        <is>
          <t>SCA</t>
        </is>
      </c>
      <c r="G19004" t="n">
        <v>6.1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19038-2025</t>
        </is>
      </c>
      <c r="B19005" s="1" t="n">
        <v>45764</v>
      </c>
      <c r="C19005" s="1" t="n">
        <v>45792</v>
      </c>
      <c r="D19005" t="inlineStr">
        <is>
          <t>VÄSTERBOTTENS LÄN</t>
        </is>
      </c>
      <c r="E19005" t="inlineStr">
        <is>
          <t>NORDMALING</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18873-2025</t>
        </is>
      </c>
      <c r="B19006" s="1" t="n">
        <v>45764</v>
      </c>
      <c r="C19006" s="1" t="n">
        <v>45792</v>
      </c>
      <c r="D19006" t="inlineStr">
        <is>
          <t>VÄSTERBOTTENS LÄN</t>
        </is>
      </c>
      <c r="E19006" t="inlineStr">
        <is>
          <t>VILHELMINA</t>
        </is>
      </c>
      <c r="G19006" t="n">
        <v>7.2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19029-2025</t>
        </is>
      </c>
      <c r="B19007" s="1" t="n">
        <v>45764</v>
      </c>
      <c r="C19007" s="1" t="n">
        <v>45792</v>
      </c>
      <c r="D19007" t="inlineStr">
        <is>
          <t>VÄSTERBOTTENS LÄN</t>
        </is>
      </c>
      <c r="E19007" t="inlineStr">
        <is>
          <t>NORDMALING</t>
        </is>
      </c>
      <c r="G19007" t="n">
        <v>4.5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18762-2025</t>
        </is>
      </c>
      <c r="B19008" s="1" t="n">
        <v>45764</v>
      </c>
      <c r="C19008" s="1" t="n">
        <v>45792</v>
      </c>
      <c r="D19008" t="inlineStr">
        <is>
          <t>VÄSTERBOTTENS LÄN</t>
        </is>
      </c>
      <c r="E19008" t="inlineStr">
        <is>
          <t>SKELLEFTEÅ</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19032-2025</t>
        </is>
      </c>
      <c r="B19009" s="1" t="n">
        <v>45764</v>
      </c>
      <c r="C19009" s="1" t="n">
        <v>45792</v>
      </c>
      <c r="D19009" t="inlineStr">
        <is>
          <t>VÄSTERBOTTENS LÄN</t>
        </is>
      </c>
      <c r="E19009" t="inlineStr">
        <is>
          <t>DOROTEA</t>
        </is>
      </c>
      <c r="F19009" t="inlineStr">
        <is>
          <t>SCA</t>
        </is>
      </c>
      <c r="G19009" t="n">
        <v>6.1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19107-2025</t>
        </is>
      </c>
      <c r="B19010" s="1" t="n">
        <v>45768</v>
      </c>
      <c r="C19010" s="1" t="n">
        <v>45792</v>
      </c>
      <c r="D19010" t="inlineStr">
        <is>
          <t>VÄSTERBOTTENS LÄN</t>
        </is>
      </c>
      <c r="E19010" t="inlineStr">
        <is>
          <t>SKELLEFTEÅ</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19119-2025</t>
        </is>
      </c>
      <c r="B19011" s="1" t="n">
        <v>45768</v>
      </c>
      <c r="C19011" s="1" t="n">
        <v>45792</v>
      </c>
      <c r="D19011" t="inlineStr">
        <is>
          <t>VÄSTERBOTTENS LÄN</t>
        </is>
      </c>
      <c r="E19011" t="inlineStr">
        <is>
          <t>SKELLEFTEÅ</t>
        </is>
      </c>
      <c r="G19011" t="n">
        <v>4.7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19246-2025</t>
        </is>
      </c>
      <c r="B19012" s="1" t="n">
        <v>45769</v>
      </c>
      <c r="C19012" s="1" t="n">
        <v>45792</v>
      </c>
      <c r="D19012" t="inlineStr">
        <is>
          <t>VÄSTERBOTTENS LÄN</t>
        </is>
      </c>
      <c r="E19012" t="inlineStr">
        <is>
          <t>LYCKSELE</t>
        </is>
      </c>
      <c r="G19012" t="n">
        <v>9.4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19414-2025</t>
        </is>
      </c>
      <c r="B19013" s="1" t="n">
        <v>45769</v>
      </c>
      <c r="C19013" s="1" t="n">
        <v>45792</v>
      </c>
      <c r="D19013" t="inlineStr">
        <is>
          <t>VÄSTERBOTTENS LÄN</t>
        </is>
      </c>
      <c r="E19013" t="inlineStr">
        <is>
          <t>VILHELMINA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19195-2025</t>
        </is>
      </c>
      <c r="B19014" s="1" t="n">
        <v>45769</v>
      </c>
      <c r="C19014" s="1" t="n">
        <v>45792</v>
      </c>
      <c r="D19014" t="inlineStr">
        <is>
          <t>VÄSTERBOTTENS LÄN</t>
        </is>
      </c>
      <c r="E19014" t="inlineStr">
        <is>
          <t>UMEÅ</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19266-2025</t>
        </is>
      </c>
      <c r="B19015" s="1" t="n">
        <v>45769</v>
      </c>
      <c r="C19015" s="1" t="n">
        <v>45792</v>
      </c>
      <c r="D19015" t="inlineStr">
        <is>
          <t>VÄSTERBOTTENS LÄN</t>
        </is>
      </c>
      <c r="E19015" t="inlineStr">
        <is>
          <t>NORDMALING</t>
        </is>
      </c>
      <c r="G19015" t="n">
        <v>11.7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19315-2025</t>
        </is>
      </c>
      <c r="B19016" s="1" t="n">
        <v>45769</v>
      </c>
      <c r="C19016" s="1" t="n">
        <v>45792</v>
      </c>
      <c r="D19016" t="inlineStr">
        <is>
          <t>VÄSTERBOTTENS LÄN</t>
        </is>
      </c>
      <c r="E19016" t="inlineStr">
        <is>
          <t>ROBERTSFORS</t>
        </is>
      </c>
      <c r="G19016" t="n">
        <v>2.5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19385-2025</t>
        </is>
      </c>
      <c r="B19017" s="1" t="n">
        <v>45769</v>
      </c>
      <c r="C19017" s="1" t="n">
        <v>45792</v>
      </c>
      <c r="D19017" t="inlineStr">
        <is>
          <t>VÄSTERBOTTENS LÄN</t>
        </is>
      </c>
      <c r="E19017" t="inlineStr">
        <is>
          <t>ÅSELE</t>
        </is>
      </c>
      <c r="F19017" t="inlineStr">
        <is>
          <t>SCA</t>
        </is>
      </c>
      <c r="G19017" t="n">
        <v>2.9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19272-2025</t>
        </is>
      </c>
      <c r="B19018" s="1" t="n">
        <v>45769</v>
      </c>
      <c r="C19018" s="1" t="n">
        <v>45792</v>
      </c>
      <c r="D19018" t="inlineStr">
        <is>
          <t>VÄSTERBOTTENS LÄN</t>
        </is>
      </c>
      <c r="E19018" t="inlineStr">
        <is>
          <t>UMEÅ</t>
        </is>
      </c>
      <c r="F19018" t="inlineStr">
        <is>
          <t>Holmen skog AB</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19219-2025</t>
        </is>
      </c>
      <c r="B19019" s="1" t="n">
        <v>45769</v>
      </c>
      <c r="C19019" s="1" t="n">
        <v>45792</v>
      </c>
      <c r="D19019" t="inlineStr">
        <is>
          <t>VÄSTERBOTTENS LÄN</t>
        </is>
      </c>
      <c r="E19019" t="inlineStr">
        <is>
          <t>UMEÅ</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19160-2025</t>
        </is>
      </c>
      <c r="B19020" s="1" t="n">
        <v>45769</v>
      </c>
      <c r="C19020" s="1" t="n">
        <v>45792</v>
      </c>
      <c r="D19020" t="inlineStr">
        <is>
          <t>VÄSTERBOTTENS LÄN</t>
        </is>
      </c>
      <c r="E19020" t="inlineStr">
        <is>
          <t>SKELLEFTEÅ</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19279-2025</t>
        </is>
      </c>
      <c r="B19021" s="1" t="n">
        <v>45769</v>
      </c>
      <c r="C19021" s="1" t="n">
        <v>45792</v>
      </c>
      <c r="D19021" t="inlineStr">
        <is>
          <t>VÄSTERBOTTENS LÄN</t>
        </is>
      </c>
      <c r="E19021" t="inlineStr">
        <is>
          <t>SORSELE</t>
        </is>
      </c>
      <c r="G19021" t="n">
        <v>12.2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19293-2025</t>
        </is>
      </c>
      <c r="B19022" s="1" t="n">
        <v>45769</v>
      </c>
      <c r="C19022" s="1" t="n">
        <v>45792</v>
      </c>
      <c r="D19022" t="inlineStr">
        <is>
          <t>VÄSTERBOTTENS LÄN</t>
        </is>
      </c>
      <c r="E19022" t="inlineStr">
        <is>
          <t>SKELLEFTEÅ</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19466-2025</t>
        </is>
      </c>
      <c r="B19023" s="1" t="n">
        <v>45769</v>
      </c>
      <c r="C19023" s="1" t="n">
        <v>45792</v>
      </c>
      <c r="D19023" t="inlineStr">
        <is>
          <t>VÄSTERBOTTENS LÄN</t>
        </is>
      </c>
      <c r="E19023" t="inlineStr">
        <is>
          <t>DOROTEA</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19467-2025</t>
        </is>
      </c>
      <c r="B19024" s="1" t="n">
        <v>45769</v>
      </c>
      <c r="C19024" s="1" t="n">
        <v>45792</v>
      </c>
      <c r="D19024" t="inlineStr">
        <is>
          <t>VÄSTERBOTTENS LÄN</t>
        </is>
      </c>
      <c r="E19024" t="inlineStr">
        <is>
          <t>DOROTEA</t>
        </is>
      </c>
      <c r="G19024" t="n">
        <v>5.2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19223-2025</t>
        </is>
      </c>
      <c r="B19025" s="1" t="n">
        <v>45769</v>
      </c>
      <c r="C19025" s="1" t="n">
        <v>45792</v>
      </c>
      <c r="D19025" t="inlineStr">
        <is>
          <t>VÄSTERBOTTENS LÄN</t>
        </is>
      </c>
      <c r="E19025" t="inlineStr">
        <is>
          <t>VILHELMINA</t>
        </is>
      </c>
      <c r="F19025" t="inlineStr">
        <is>
          <t>SCA</t>
        </is>
      </c>
      <c r="G19025" t="n">
        <v>2.9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19252-2025</t>
        </is>
      </c>
      <c r="B19026" s="1" t="n">
        <v>45769</v>
      </c>
      <c r="C19026" s="1" t="n">
        <v>45792</v>
      </c>
      <c r="D19026" t="inlineStr">
        <is>
          <t>VÄSTERBOTTENS LÄN</t>
        </is>
      </c>
      <c r="E19026" t="inlineStr">
        <is>
          <t>NORDMALING</t>
        </is>
      </c>
      <c r="G19026" t="n">
        <v>3.6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19221-2025</t>
        </is>
      </c>
      <c r="B19027" s="1" t="n">
        <v>45769</v>
      </c>
      <c r="C19027" s="1" t="n">
        <v>45792</v>
      </c>
      <c r="D19027" t="inlineStr">
        <is>
          <t>VÄSTERBOTTENS LÄN</t>
        </is>
      </c>
      <c r="E19027" t="inlineStr">
        <is>
          <t>VILHELMINA</t>
        </is>
      </c>
      <c r="F19027" t="inlineStr">
        <is>
          <t>SCA</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19464-2025</t>
        </is>
      </c>
      <c r="B19028" s="1" t="n">
        <v>45770</v>
      </c>
      <c r="C19028" s="1" t="n">
        <v>45792</v>
      </c>
      <c r="D19028" t="inlineStr">
        <is>
          <t>VÄSTERBOTTENS LÄN</t>
        </is>
      </c>
      <c r="E19028" t="inlineStr">
        <is>
          <t>VILHELMINA</t>
        </is>
      </c>
      <c r="F19028" t="inlineStr">
        <is>
          <t>SCA</t>
        </is>
      </c>
      <c r="G19028" t="n">
        <v>7.3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19600-2025</t>
        </is>
      </c>
      <c r="B19029" s="1" t="n">
        <v>45770</v>
      </c>
      <c r="C19029" s="1" t="n">
        <v>45792</v>
      </c>
      <c r="D19029" t="inlineStr">
        <is>
          <t>VÄSTERBOTTENS LÄN</t>
        </is>
      </c>
      <c r="E19029" t="inlineStr">
        <is>
          <t>VILHELMINA</t>
        </is>
      </c>
      <c r="G19029" t="n">
        <v>3.7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19516-2025</t>
        </is>
      </c>
      <c r="B19030" s="1" t="n">
        <v>45770</v>
      </c>
      <c r="C19030" s="1" t="n">
        <v>45792</v>
      </c>
      <c r="D19030" t="inlineStr">
        <is>
          <t>VÄSTERBOTTENS LÄN</t>
        </is>
      </c>
      <c r="E19030" t="inlineStr">
        <is>
          <t>NORDMALING</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19658-2025</t>
        </is>
      </c>
      <c r="B19031" s="1" t="n">
        <v>45770</v>
      </c>
      <c r="C19031" s="1" t="n">
        <v>45792</v>
      </c>
      <c r="D19031" t="inlineStr">
        <is>
          <t>VÄSTERBOTTENS LÄN</t>
        </is>
      </c>
      <c r="E19031" t="inlineStr">
        <is>
          <t>SKELLEFTEÅ</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19811-2025</t>
        </is>
      </c>
      <c r="B19032" s="1" t="n">
        <v>45770</v>
      </c>
      <c r="C19032" s="1" t="n">
        <v>45792</v>
      </c>
      <c r="D19032" t="inlineStr">
        <is>
          <t>VÄSTERBOTTENS LÄN</t>
        </is>
      </c>
      <c r="E19032" t="inlineStr">
        <is>
          <t>SORSELE</t>
        </is>
      </c>
      <c r="G19032" t="n">
        <v>11.8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19657-2025</t>
        </is>
      </c>
      <c r="B19033" s="1" t="n">
        <v>45770</v>
      </c>
      <c r="C19033" s="1" t="n">
        <v>45792</v>
      </c>
      <c r="D19033" t="inlineStr">
        <is>
          <t>VÄSTERBOTTENS LÄN</t>
        </is>
      </c>
      <c r="E19033" t="inlineStr">
        <is>
          <t>DOROTEA</t>
        </is>
      </c>
      <c r="F19033" t="inlineStr">
        <is>
          <t>SCA</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19572-2025</t>
        </is>
      </c>
      <c r="B19034" s="1" t="n">
        <v>45770</v>
      </c>
      <c r="C19034" s="1" t="n">
        <v>45792</v>
      </c>
      <c r="D19034" t="inlineStr">
        <is>
          <t>VÄSTERBOTTENS LÄN</t>
        </is>
      </c>
      <c r="E19034" t="inlineStr">
        <is>
          <t>ÅSELE</t>
        </is>
      </c>
      <c r="F19034" t="inlineStr">
        <is>
          <t>SCA</t>
        </is>
      </c>
      <c r="G19034" t="n">
        <v>5.5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19462-2025</t>
        </is>
      </c>
      <c r="B19035" s="1" t="n">
        <v>45770</v>
      </c>
      <c r="C19035" s="1" t="n">
        <v>45792</v>
      </c>
      <c r="D19035" t="inlineStr">
        <is>
          <t>VÄSTERBOTTENS LÄN</t>
        </is>
      </c>
      <c r="E19035" t="inlineStr">
        <is>
          <t>ÅSELE</t>
        </is>
      </c>
      <c r="F19035" t="inlineStr">
        <is>
          <t>SCA</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19616-2025</t>
        </is>
      </c>
      <c r="B19036" s="1" t="n">
        <v>45770</v>
      </c>
      <c r="C19036" s="1" t="n">
        <v>45792</v>
      </c>
      <c r="D19036" t="inlineStr">
        <is>
          <t>VÄSTERBOTTENS LÄN</t>
        </is>
      </c>
      <c r="E19036" t="inlineStr">
        <is>
          <t>DOROTEA</t>
        </is>
      </c>
      <c r="F19036" t="inlineStr">
        <is>
          <t>SCA</t>
        </is>
      </c>
      <c r="G19036" t="n">
        <v>8.4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19614-2025</t>
        </is>
      </c>
      <c r="B19037" s="1" t="n">
        <v>45770</v>
      </c>
      <c r="C19037" s="1" t="n">
        <v>45792</v>
      </c>
      <c r="D19037" t="inlineStr">
        <is>
          <t>VÄSTERBOTTENS LÄN</t>
        </is>
      </c>
      <c r="E19037" t="inlineStr">
        <is>
          <t>ÅSELE</t>
        </is>
      </c>
      <c r="F19037" t="inlineStr">
        <is>
          <t>SCA</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19546-2025</t>
        </is>
      </c>
      <c r="B19038" s="1" t="n">
        <v>45770</v>
      </c>
      <c r="C19038" s="1" t="n">
        <v>45792</v>
      </c>
      <c r="D19038" t="inlineStr">
        <is>
          <t>VÄSTERBOTTENS LÄN</t>
        </is>
      </c>
      <c r="E19038" t="inlineStr">
        <is>
          <t>VILHELMINA</t>
        </is>
      </c>
      <c r="G19038" t="n">
        <v>35.9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19506-2025</t>
        </is>
      </c>
      <c r="B19039" s="1" t="n">
        <v>45770</v>
      </c>
      <c r="C19039" s="1" t="n">
        <v>45792</v>
      </c>
      <c r="D19039" t="inlineStr">
        <is>
          <t>VÄSTERBOTTENS LÄN</t>
        </is>
      </c>
      <c r="E19039" t="inlineStr">
        <is>
          <t>VILHELMINA</t>
        </is>
      </c>
      <c r="G19039" t="n">
        <v>22.4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19606-2025</t>
        </is>
      </c>
      <c r="B19040" s="1" t="n">
        <v>45770</v>
      </c>
      <c r="C19040" s="1" t="n">
        <v>45792</v>
      </c>
      <c r="D19040" t="inlineStr">
        <is>
          <t>VÄSTERBOTTENS LÄN</t>
        </is>
      </c>
      <c r="E19040" t="inlineStr">
        <is>
          <t>LYCKSELE</t>
        </is>
      </c>
      <c r="F19040" t="inlineStr">
        <is>
          <t>Holmen skog AB</t>
        </is>
      </c>
      <c r="G19040" t="n">
        <v>1.9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19531-2025</t>
        </is>
      </c>
      <c r="B19041" s="1" t="n">
        <v>45770</v>
      </c>
      <c r="C19041" s="1" t="n">
        <v>45792</v>
      </c>
      <c r="D19041" t="inlineStr">
        <is>
          <t>VÄSTERBOTTENS LÄN</t>
        </is>
      </c>
      <c r="E19041" t="inlineStr">
        <is>
          <t>LYCKSELE</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19545-2025</t>
        </is>
      </c>
      <c r="B19042" s="1" t="n">
        <v>45770</v>
      </c>
      <c r="C19042" s="1" t="n">
        <v>45792</v>
      </c>
      <c r="D19042" t="inlineStr">
        <is>
          <t>VÄSTERBOTTENS LÄN</t>
        </is>
      </c>
      <c r="E19042" t="inlineStr">
        <is>
          <t>SKELLEFTEÅ</t>
        </is>
      </c>
      <c r="G19042" t="n">
        <v>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19465-2025</t>
        </is>
      </c>
      <c r="B19043" s="1" t="n">
        <v>45770</v>
      </c>
      <c r="C19043" s="1" t="n">
        <v>45792</v>
      </c>
      <c r="D19043" t="inlineStr">
        <is>
          <t>VÄSTERBOTTENS LÄN</t>
        </is>
      </c>
      <c r="E19043" t="inlineStr">
        <is>
          <t>VILHELMINA</t>
        </is>
      </c>
      <c r="F19043" t="inlineStr">
        <is>
          <t>SCA</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20000-2025</t>
        </is>
      </c>
      <c r="B19044" s="1" t="n">
        <v>45771</v>
      </c>
      <c r="C19044" s="1" t="n">
        <v>45792</v>
      </c>
      <c r="D19044" t="inlineStr">
        <is>
          <t>VÄSTERBOTTENS LÄN</t>
        </is>
      </c>
      <c r="E19044" t="inlineStr">
        <is>
          <t>VINDELN</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19831-2025</t>
        </is>
      </c>
      <c r="B19045" s="1" t="n">
        <v>45771</v>
      </c>
      <c r="C19045" s="1" t="n">
        <v>45792</v>
      </c>
      <c r="D19045" t="inlineStr">
        <is>
          <t>VÄSTERBOTTENS LÄN</t>
        </is>
      </c>
      <c r="E19045" t="inlineStr">
        <is>
          <t>UMEÅ</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19729-2025</t>
        </is>
      </c>
      <c r="B19046" s="1" t="n">
        <v>45771</v>
      </c>
      <c r="C19046" s="1" t="n">
        <v>45792</v>
      </c>
      <c r="D19046" t="inlineStr">
        <is>
          <t>VÄSTERBOTTENS LÄN</t>
        </is>
      </c>
      <c r="E19046" t="inlineStr">
        <is>
          <t>SKELLEFTEÅ</t>
        </is>
      </c>
      <c r="G19046" t="n">
        <v>8.5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19735-2025</t>
        </is>
      </c>
      <c r="B19047" s="1" t="n">
        <v>45771</v>
      </c>
      <c r="C19047" s="1" t="n">
        <v>45792</v>
      </c>
      <c r="D19047" t="inlineStr">
        <is>
          <t>VÄSTERBOTTENS LÄN</t>
        </is>
      </c>
      <c r="E19047" t="inlineStr">
        <is>
          <t>NORDMALING</t>
        </is>
      </c>
      <c r="G19047" t="n">
        <v>5.4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19752-2025</t>
        </is>
      </c>
      <c r="B19048" s="1" t="n">
        <v>45771</v>
      </c>
      <c r="C19048" s="1" t="n">
        <v>45792</v>
      </c>
      <c r="D19048" t="inlineStr">
        <is>
          <t>VÄSTERBOTTENS LÄN</t>
        </is>
      </c>
      <c r="E19048" t="inlineStr">
        <is>
          <t>SKELLEFTEÅ</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19915-2025</t>
        </is>
      </c>
      <c r="B19049" s="1" t="n">
        <v>45771</v>
      </c>
      <c r="C19049" s="1" t="n">
        <v>45792</v>
      </c>
      <c r="D19049" t="inlineStr">
        <is>
          <t>VÄSTERBOTTENS LÄN</t>
        </is>
      </c>
      <c r="E19049" t="inlineStr">
        <is>
          <t>DOROTEA</t>
        </is>
      </c>
      <c r="F19049" t="inlineStr">
        <is>
          <t>SCA</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19909-2025</t>
        </is>
      </c>
      <c r="B19050" s="1" t="n">
        <v>45771</v>
      </c>
      <c r="C19050" s="1" t="n">
        <v>45792</v>
      </c>
      <c r="D19050" t="inlineStr">
        <is>
          <t>VÄSTERBOTTENS LÄN</t>
        </is>
      </c>
      <c r="E19050" t="inlineStr">
        <is>
          <t>VILHELMINA</t>
        </is>
      </c>
      <c r="G19050" t="n">
        <v>12.4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19764-2025</t>
        </is>
      </c>
      <c r="B19051" s="1" t="n">
        <v>45771</v>
      </c>
      <c r="C19051" s="1" t="n">
        <v>45792</v>
      </c>
      <c r="D19051" t="inlineStr">
        <is>
          <t>VÄSTERBOTTENS LÄN</t>
        </is>
      </c>
      <c r="E19051" t="inlineStr">
        <is>
          <t>SKELLEFTEÅ</t>
        </is>
      </c>
      <c r="G19051" t="n">
        <v>0.8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19738-2025</t>
        </is>
      </c>
      <c r="B19052" s="1" t="n">
        <v>45771</v>
      </c>
      <c r="C19052" s="1" t="n">
        <v>45792</v>
      </c>
      <c r="D19052" t="inlineStr">
        <is>
          <t>VÄSTERBOTTENS LÄN</t>
        </is>
      </c>
      <c r="E19052" t="inlineStr">
        <is>
          <t>VILHELMINA</t>
        </is>
      </c>
      <c r="G19052" t="n">
        <v>22.5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19778-2025</t>
        </is>
      </c>
      <c r="B19053" s="1" t="n">
        <v>45771</v>
      </c>
      <c r="C19053" s="1" t="n">
        <v>45792</v>
      </c>
      <c r="D19053" t="inlineStr">
        <is>
          <t>VÄSTERBOTTENS LÄN</t>
        </is>
      </c>
      <c r="E19053" t="inlineStr">
        <is>
          <t>SKELLEFTEÅ</t>
        </is>
      </c>
      <c r="G19053" t="n">
        <v>6.7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19795-2025</t>
        </is>
      </c>
      <c r="B19054" s="1" t="n">
        <v>45771</v>
      </c>
      <c r="C19054" s="1" t="n">
        <v>45792</v>
      </c>
      <c r="D19054" t="inlineStr">
        <is>
          <t>VÄSTERBOTTENS LÄN</t>
        </is>
      </c>
      <c r="E19054" t="inlineStr">
        <is>
          <t>SKELLEFTEÅ</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19889-2025</t>
        </is>
      </c>
      <c r="B19055" s="1" t="n">
        <v>45771</v>
      </c>
      <c r="C19055" s="1" t="n">
        <v>45792</v>
      </c>
      <c r="D19055" t="inlineStr">
        <is>
          <t>VÄSTERBOTTENS LÄN</t>
        </is>
      </c>
      <c r="E19055" t="inlineStr">
        <is>
          <t>DOROTEA</t>
        </is>
      </c>
      <c r="F19055" t="inlineStr">
        <is>
          <t>SCA</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19970-2025</t>
        </is>
      </c>
      <c r="B19056" s="1" t="n">
        <v>45771</v>
      </c>
      <c r="C19056" s="1" t="n">
        <v>45792</v>
      </c>
      <c r="D19056" t="inlineStr">
        <is>
          <t>VÄSTERBOTTENS LÄN</t>
        </is>
      </c>
      <c r="E19056" t="inlineStr">
        <is>
          <t>SKELLEFTEÅ</t>
        </is>
      </c>
      <c r="G19056" t="n">
        <v>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19731-2025</t>
        </is>
      </c>
      <c r="B19057" s="1" t="n">
        <v>45771</v>
      </c>
      <c r="C19057" s="1" t="n">
        <v>45792</v>
      </c>
      <c r="D19057" t="inlineStr">
        <is>
          <t>VÄSTERBOTTENS LÄN</t>
        </is>
      </c>
      <c r="E19057" t="inlineStr">
        <is>
          <t>SKELLEFTEÅ</t>
        </is>
      </c>
      <c r="G19057" t="n">
        <v>6.1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19972-2025</t>
        </is>
      </c>
      <c r="B19058" s="1" t="n">
        <v>45771</v>
      </c>
      <c r="C19058" s="1" t="n">
        <v>45792</v>
      </c>
      <c r="D19058" t="inlineStr">
        <is>
          <t>VÄSTERBOTTENS LÄN</t>
        </is>
      </c>
      <c r="E19058" t="inlineStr">
        <is>
          <t>UMEÅ</t>
        </is>
      </c>
      <c r="G19058" t="n">
        <v>4.3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19726-2025</t>
        </is>
      </c>
      <c r="B19059" s="1" t="n">
        <v>45771</v>
      </c>
      <c r="C19059" s="1" t="n">
        <v>45792</v>
      </c>
      <c r="D19059" t="inlineStr">
        <is>
          <t>VÄSTERBOTTENS LÄN</t>
        </is>
      </c>
      <c r="E19059" t="inlineStr">
        <is>
          <t>DOROTEA</t>
        </is>
      </c>
      <c r="F19059" t="inlineStr">
        <is>
          <t>SCA</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19730-2025</t>
        </is>
      </c>
      <c r="B19060" s="1" t="n">
        <v>45771</v>
      </c>
      <c r="C19060" s="1" t="n">
        <v>45792</v>
      </c>
      <c r="D19060" t="inlineStr">
        <is>
          <t>VÄSTERBOTTENS LÄN</t>
        </is>
      </c>
      <c r="E19060" t="inlineStr">
        <is>
          <t>SKELLEFTEÅ</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19951-2025</t>
        </is>
      </c>
      <c r="B19061" s="1" t="n">
        <v>45771</v>
      </c>
      <c r="C19061" s="1" t="n">
        <v>45792</v>
      </c>
      <c r="D19061" t="inlineStr">
        <is>
          <t>VÄSTERBOTTENS LÄN</t>
        </is>
      </c>
      <c r="E19061" t="inlineStr">
        <is>
          <t>SKELLEFTEÅ</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20001-2025</t>
        </is>
      </c>
      <c r="B19062" s="1" t="n">
        <v>45771</v>
      </c>
      <c r="C19062" s="1" t="n">
        <v>45792</v>
      </c>
      <c r="D19062" t="inlineStr">
        <is>
          <t>VÄSTERBOTTENS LÄN</t>
        </is>
      </c>
      <c r="E19062" t="inlineStr">
        <is>
          <t>VINDELN</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19734-2025</t>
        </is>
      </c>
      <c r="B19063" s="1" t="n">
        <v>45771</v>
      </c>
      <c r="C19063" s="1" t="n">
        <v>45792</v>
      </c>
      <c r="D19063" t="inlineStr">
        <is>
          <t>VÄSTERBOTTENS LÄN</t>
        </is>
      </c>
      <c r="E19063" t="inlineStr">
        <is>
          <t>VÄNNÄS</t>
        </is>
      </c>
      <c r="F19063" t="inlineStr">
        <is>
          <t>Holmen skog AB</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19765-2025</t>
        </is>
      </c>
      <c r="B19064" s="1" t="n">
        <v>45771</v>
      </c>
      <c r="C19064" s="1" t="n">
        <v>45792</v>
      </c>
      <c r="D19064" t="inlineStr">
        <is>
          <t>VÄSTERBOTTENS LÄN</t>
        </is>
      </c>
      <c r="E19064" t="inlineStr">
        <is>
          <t>SKELLEFTEÅ</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19706-2025</t>
        </is>
      </c>
      <c r="B19065" s="1" t="n">
        <v>45771</v>
      </c>
      <c r="C19065" s="1" t="n">
        <v>45792</v>
      </c>
      <c r="D19065" t="inlineStr">
        <is>
          <t>VÄSTERBOTTENS LÄN</t>
        </is>
      </c>
      <c r="E19065" t="inlineStr">
        <is>
          <t>VINDELN</t>
        </is>
      </c>
      <c r="G19065" t="n">
        <v>19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19786-2025</t>
        </is>
      </c>
      <c r="B19066" s="1" t="n">
        <v>45771</v>
      </c>
      <c r="C19066" s="1" t="n">
        <v>45792</v>
      </c>
      <c r="D19066" t="inlineStr">
        <is>
          <t>VÄSTERBOTTENS LÄN</t>
        </is>
      </c>
      <c r="E19066" t="inlineStr">
        <is>
          <t>VÄNNÄS</t>
        </is>
      </c>
      <c r="F19066" t="inlineStr">
        <is>
          <t>Holmen skog AB</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19779-2025</t>
        </is>
      </c>
      <c r="B19067" s="1" t="n">
        <v>45771</v>
      </c>
      <c r="C19067" s="1" t="n">
        <v>45792</v>
      </c>
      <c r="D19067" t="inlineStr">
        <is>
          <t>VÄSTERBOTTENS LÄN</t>
        </is>
      </c>
      <c r="E19067" t="inlineStr">
        <is>
          <t>SKELLEFTEÅ</t>
        </is>
      </c>
      <c r="G19067" t="n">
        <v>7.8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19928-2025</t>
        </is>
      </c>
      <c r="B19068" s="1" t="n">
        <v>45771</v>
      </c>
      <c r="C19068" s="1" t="n">
        <v>45792</v>
      </c>
      <c r="D19068" t="inlineStr">
        <is>
          <t>VÄSTERBOTTENS LÄN</t>
        </is>
      </c>
      <c r="E19068" t="inlineStr">
        <is>
          <t>ÅSELE</t>
        </is>
      </c>
      <c r="F19068" t="inlineStr">
        <is>
          <t>SCA</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19776-2025</t>
        </is>
      </c>
      <c r="B19069" s="1" t="n">
        <v>45771</v>
      </c>
      <c r="C19069" s="1" t="n">
        <v>45792</v>
      </c>
      <c r="D19069" t="inlineStr">
        <is>
          <t>VÄSTERBOTTENS LÄN</t>
        </is>
      </c>
      <c r="E19069" t="inlineStr">
        <is>
          <t>VÄNNÄS</t>
        </is>
      </c>
      <c r="F19069" t="inlineStr">
        <is>
          <t>Holmen skog AB</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19939-2025</t>
        </is>
      </c>
      <c r="B19070" s="1" t="n">
        <v>45771</v>
      </c>
      <c r="C19070" s="1" t="n">
        <v>45792</v>
      </c>
      <c r="D19070" t="inlineStr">
        <is>
          <t>VÄSTERBOTTENS LÄN</t>
        </is>
      </c>
      <c r="E19070" t="inlineStr">
        <is>
          <t>VINDELN</t>
        </is>
      </c>
      <c r="F19070" t="inlineStr">
        <is>
          <t>Holmen skog AB</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20008-2025</t>
        </is>
      </c>
      <c r="B19071" s="1" t="n">
        <v>45772</v>
      </c>
      <c r="C19071" s="1" t="n">
        <v>45792</v>
      </c>
      <c r="D19071" t="inlineStr">
        <is>
          <t>VÄSTERBOTTENS LÄN</t>
        </is>
      </c>
      <c r="E19071" t="inlineStr">
        <is>
          <t>NORDMALING</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20129-2025</t>
        </is>
      </c>
      <c r="B19072" s="1" t="n">
        <v>45772</v>
      </c>
      <c r="C19072" s="1" t="n">
        <v>45792</v>
      </c>
      <c r="D19072" t="inlineStr">
        <is>
          <t>VÄSTERBOTTENS LÄN</t>
        </is>
      </c>
      <c r="E19072" t="inlineStr">
        <is>
          <t>SKELLEFTEÅ</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20154-2025</t>
        </is>
      </c>
      <c r="B19073" s="1" t="n">
        <v>45772</v>
      </c>
      <c r="C19073" s="1" t="n">
        <v>45792</v>
      </c>
      <c r="D19073" t="inlineStr">
        <is>
          <t>VÄSTERBOTTENS LÄN</t>
        </is>
      </c>
      <c r="E19073" t="inlineStr">
        <is>
          <t>ÅSELE</t>
        </is>
      </c>
      <c r="F19073" t="inlineStr">
        <is>
          <t>Holmen skog AB</t>
        </is>
      </c>
      <c r="G19073" t="n">
        <v>6.3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20007-2025</t>
        </is>
      </c>
      <c r="B19074" s="1" t="n">
        <v>45772</v>
      </c>
      <c r="C19074" s="1" t="n">
        <v>45792</v>
      </c>
      <c r="D19074" t="inlineStr">
        <is>
          <t>VÄSTERBOTTENS LÄN</t>
        </is>
      </c>
      <c r="E19074" t="inlineStr">
        <is>
          <t>NORDMALING</t>
        </is>
      </c>
      <c r="G19074" t="n">
        <v>4.6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20216-2025</t>
        </is>
      </c>
      <c r="B19075" s="1" t="n">
        <v>45772</v>
      </c>
      <c r="C19075" s="1" t="n">
        <v>45792</v>
      </c>
      <c r="D19075" t="inlineStr">
        <is>
          <t>VÄSTERBOTTENS LÄN</t>
        </is>
      </c>
      <c r="E19075" t="inlineStr">
        <is>
          <t>SKELLEFTEÅ</t>
        </is>
      </c>
      <c r="G19075" t="n">
        <v>8.199999999999999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20036-2025</t>
        </is>
      </c>
      <c r="B19076" s="1" t="n">
        <v>45772</v>
      </c>
      <c r="C19076" s="1" t="n">
        <v>45792</v>
      </c>
      <c r="D19076" t="inlineStr">
        <is>
          <t>VÄSTERBOTTENS LÄN</t>
        </is>
      </c>
      <c r="E19076" t="inlineStr">
        <is>
          <t>ÅSELE</t>
        </is>
      </c>
      <c r="F19076" t="inlineStr">
        <is>
          <t>Holmen skog AB</t>
        </is>
      </c>
      <c r="G19076" t="n">
        <v>2.6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20084-2025</t>
        </is>
      </c>
      <c r="B19077" s="1" t="n">
        <v>45772</v>
      </c>
      <c r="C19077" s="1" t="n">
        <v>45792</v>
      </c>
      <c r="D19077" t="inlineStr">
        <is>
          <t>VÄSTERBOTTENS LÄN</t>
        </is>
      </c>
      <c r="E19077" t="inlineStr">
        <is>
          <t>SKELLEFTEÅ</t>
        </is>
      </c>
      <c r="F19077" t="inlineStr">
        <is>
          <t>Holmen skog AB</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20220-2025</t>
        </is>
      </c>
      <c r="B19078" s="1" t="n">
        <v>45772</v>
      </c>
      <c r="C19078" s="1" t="n">
        <v>45792</v>
      </c>
      <c r="D19078" t="inlineStr">
        <is>
          <t>VÄSTERBOTTENS LÄN</t>
        </is>
      </c>
      <c r="E19078" t="inlineStr">
        <is>
          <t>SKELLEFTEÅ</t>
        </is>
      </c>
      <c r="G19078" t="n">
        <v>18.6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20163-2025</t>
        </is>
      </c>
      <c r="B19079" s="1" t="n">
        <v>45772</v>
      </c>
      <c r="C19079" s="1" t="n">
        <v>45792</v>
      </c>
      <c r="D19079" t="inlineStr">
        <is>
          <t>VÄSTERBOTTENS LÄN</t>
        </is>
      </c>
      <c r="E19079" t="inlineStr">
        <is>
          <t>SKELLEFTEÅ</t>
        </is>
      </c>
      <c r="F19079" t="inlineStr">
        <is>
          <t>Holmen skog AB</t>
        </is>
      </c>
      <c r="G19079" t="n">
        <v>5.9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20034-2025</t>
        </is>
      </c>
      <c r="B19080" s="1" t="n">
        <v>45772</v>
      </c>
      <c r="C19080" s="1" t="n">
        <v>45792</v>
      </c>
      <c r="D19080" t="inlineStr">
        <is>
          <t>VÄSTERBOTTENS LÄN</t>
        </is>
      </c>
      <c r="E19080" t="inlineStr">
        <is>
          <t>LYCKSELE</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20240-2025</t>
        </is>
      </c>
      <c r="B19081" s="1" t="n">
        <v>45772</v>
      </c>
      <c r="C19081" s="1" t="n">
        <v>45792</v>
      </c>
      <c r="D19081" t="inlineStr">
        <is>
          <t>VÄSTERBOTTENS LÄN</t>
        </is>
      </c>
      <c r="E19081" t="inlineStr">
        <is>
          <t>DOROTEA</t>
        </is>
      </c>
      <c r="F19081" t="inlineStr">
        <is>
          <t>SCA</t>
        </is>
      </c>
      <c r="G19081" t="n">
        <v>6.9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20218-2025</t>
        </is>
      </c>
      <c r="B19082" s="1" t="n">
        <v>45772</v>
      </c>
      <c r="C19082" s="1" t="n">
        <v>45792</v>
      </c>
      <c r="D19082" t="inlineStr">
        <is>
          <t>VÄSTERBOTTENS LÄN</t>
        </is>
      </c>
      <c r="E19082" t="inlineStr">
        <is>
          <t>SKELLEFTEÅ</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20113-2025</t>
        </is>
      </c>
      <c r="B19083" s="1" t="n">
        <v>45772</v>
      </c>
      <c r="C19083" s="1" t="n">
        <v>45792</v>
      </c>
      <c r="D19083" t="inlineStr">
        <is>
          <t>VÄSTERBOTTENS LÄN</t>
        </is>
      </c>
      <c r="E19083" t="inlineStr">
        <is>
          <t>UMEÅ</t>
        </is>
      </c>
      <c r="G19083" t="n">
        <v>2.6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20026-2025</t>
        </is>
      </c>
      <c r="B19084" s="1" t="n">
        <v>45772</v>
      </c>
      <c r="C19084" s="1" t="n">
        <v>45792</v>
      </c>
      <c r="D19084" t="inlineStr">
        <is>
          <t>VÄSTERBOTTENS LÄN</t>
        </is>
      </c>
      <c r="E19084" t="inlineStr">
        <is>
          <t>LYCKSELE</t>
        </is>
      </c>
      <c r="G19084" t="n">
        <v>1.3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20161-2025</t>
        </is>
      </c>
      <c r="B19085" s="1" t="n">
        <v>45772</v>
      </c>
      <c r="C19085" s="1" t="n">
        <v>45792</v>
      </c>
      <c r="D19085" t="inlineStr">
        <is>
          <t>VÄSTERBOTTENS LÄN</t>
        </is>
      </c>
      <c r="E19085" t="inlineStr">
        <is>
          <t>LYCKSELE</t>
        </is>
      </c>
      <c r="F19085" t="inlineStr">
        <is>
          <t>Holmen skog AB</t>
        </is>
      </c>
      <c r="G19085" t="n">
        <v>6.5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20193-2025</t>
        </is>
      </c>
      <c r="B19086" s="1" t="n">
        <v>45772</v>
      </c>
      <c r="C19086" s="1" t="n">
        <v>45792</v>
      </c>
      <c r="D19086" t="inlineStr">
        <is>
          <t>VÄSTERBOTTENS LÄN</t>
        </is>
      </c>
      <c r="E19086" t="inlineStr">
        <is>
          <t>SKELLEFTEÅ</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20143-2025</t>
        </is>
      </c>
      <c r="B19087" s="1" t="n">
        <v>45772</v>
      </c>
      <c r="C19087" s="1" t="n">
        <v>45792</v>
      </c>
      <c r="D19087" t="inlineStr">
        <is>
          <t>VÄSTERBOTTENS LÄN</t>
        </is>
      </c>
      <c r="E19087" t="inlineStr">
        <is>
          <t>UMEÅ</t>
        </is>
      </c>
      <c r="G19087" t="n">
        <v>1.4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20142-2025</t>
        </is>
      </c>
      <c r="B19088" s="1" t="n">
        <v>45772</v>
      </c>
      <c r="C19088" s="1" t="n">
        <v>45792</v>
      </c>
      <c r="D19088" t="inlineStr">
        <is>
          <t>VÄSTERBOTTENS LÄN</t>
        </is>
      </c>
      <c r="E19088" t="inlineStr">
        <is>
          <t>UMEÅ</t>
        </is>
      </c>
      <c r="G19088" t="n">
        <v>2.1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20148-2025</t>
        </is>
      </c>
      <c r="B19089" s="1" t="n">
        <v>45772</v>
      </c>
      <c r="C19089" s="1" t="n">
        <v>45792</v>
      </c>
      <c r="D19089" t="inlineStr">
        <is>
          <t>VÄSTERBOTTENS LÄN</t>
        </is>
      </c>
      <c r="E19089" t="inlineStr">
        <is>
          <t>LYCKSELE</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20245-2025</t>
        </is>
      </c>
      <c r="B19090" s="1" t="n">
        <v>45772</v>
      </c>
      <c r="C19090" s="1" t="n">
        <v>45792</v>
      </c>
      <c r="D19090" t="inlineStr">
        <is>
          <t>VÄSTERBOTTENS LÄN</t>
        </is>
      </c>
      <c r="E19090" t="inlineStr">
        <is>
          <t>SKELLEFTEÅ</t>
        </is>
      </c>
      <c r="G19090" t="n">
        <v>14.1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20302-2025</t>
        </is>
      </c>
      <c r="B19091" s="1" t="n">
        <v>45774</v>
      </c>
      <c r="C19091" s="1" t="n">
        <v>45792</v>
      </c>
      <c r="D19091" t="inlineStr">
        <is>
          <t>VÄSTERBOTTENS LÄN</t>
        </is>
      </c>
      <c r="E19091" t="inlineStr">
        <is>
          <t>ÅSELE</t>
        </is>
      </c>
      <c r="G19091" t="n">
        <v>12.7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20303-2025</t>
        </is>
      </c>
      <c r="B19092" s="1" t="n">
        <v>45774</v>
      </c>
      <c r="C19092" s="1" t="n">
        <v>45792</v>
      </c>
      <c r="D19092" t="inlineStr">
        <is>
          <t>VÄSTERBOTTENS LÄN</t>
        </is>
      </c>
      <c r="E19092" t="inlineStr">
        <is>
          <t>ÅSELE</t>
        </is>
      </c>
      <c r="G19092" t="n">
        <v>4.1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20304-2025</t>
        </is>
      </c>
      <c r="B19093" s="1" t="n">
        <v>45774</v>
      </c>
      <c r="C19093" s="1" t="n">
        <v>45792</v>
      </c>
      <c r="D19093" t="inlineStr">
        <is>
          <t>VÄSTERBOTTENS LÄN</t>
        </is>
      </c>
      <c r="E19093" t="inlineStr">
        <is>
          <t>ÅSELE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20305-2025</t>
        </is>
      </c>
      <c r="B19094" s="1" t="n">
        <v>45774</v>
      </c>
      <c r="C19094" s="1" t="n">
        <v>45792</v>
      </c>
      <c r="D19094" t="inlineStr">
        <is>
          <t>VÄSTERBOTTENS LÄN</t>
        </is>
      </c>
      <c r="E19094" t="inlineStr">
        <is>
          <t>ÅSELE</t>
        </is>
      </c>
      <c r="G19094" t="n">
        <v>5.4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20276-2025</t>
        </is>
      </c>
      <c r="B19095" s="1" t="n">
        <v>45774</v>
      </c>
      <c r="C19095" s="1" t="n">
        <v>45792</v>
      </c>
      <c r="D19095" t="inlineStr">
        <is>
          <t>VÄSTERBOTTENS LÄN</t>
        </is>
      </c>
      <c r="E19095" t="inlineStr">
        <is>
          <t>ÅSELE</t>
        </is>
      </c>
      <c r="G19095" t="n">
        <v>16.3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20476-2025</t>
        </is>
      </c>
      <c r="B19096" s="1" t="n">
        <v>45775</v>
      </c>
      <c r="C19096" s="1" t="n">
        <v>45792</v>
      </c>
      <c r="D19096" t="inlineStr">
        <is>
          <t>VÄSTERBOTTENS LÄN</t>
        </is>
      </c>
      <c r="E19096" t="inlineStr">
        <is>
          <t>NORDMALING</t>
        </is>
      </c>
      <c r="G19096" t="n">
        <v>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20479-2025</t>
        </is>
      </c>
      <c r="B19097" s="1" t="n">
        <v>45775</v>
      </c>
      <c r="C19097" s="1" t="n">
        <v>45792</v>
      </c>
      <c r="D19097" t="inlineStr">
        <is>
          <t>VÄSTERBOTTENS LÄN</t>
        </is>
      </c>
      <c r="E19097" t="inlineStr">
        <is>
          <t>NORDMALING</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20489-2025</t>
        </is>
      </c>
      <c r="B19098" s="1" t="n">
        <v>45775</v>
      </c>
      <c r="C19098" s="1" t="n">
        <v>45792</v>
      </c>
      <c r="D19098" t="inlineStr">
        <is>
          <t>VÄSTERBOTTENS LÄN</t>
        </is>
      </c>
      <c r="E19098" t="inlineStr">
        <is>
          <t>NORDMALING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20534-2025</t>
        </is>
      </c>
      <c r="B19099" s="1" t="n">
        <v>45775</v>
      </c>
      <c r="C19099" s="1" t="n">
        <v>45792</v>
      </c>
      <c r="D19099" t="inlineStr">
        <is>
          <t>VÄSTERBOTTENS LÄN</t>
        </is>
      </c>
      <c r="E19099" t="inlineStr">
        <is>
          <t>VILHELMINA</t>
        </is>
      </c>
      <c r="F19099" t="inlineStr">
        <is>
          <t>SCA</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20324-2025</t>
        </is>
      </c>
      <c r="B19100" s="1" t="n">
        <v>45775</v>
      </c>
      <c r="C19100" s="1" t="n">
        <v>45792</v>
      </c>
      <c r="D19100" t="inlineStr">
        <is>
          <t>VÄSTERBOTTENS LÄN</t>
        </is>
      </c>
      <c r="E19100" t="inlineStr">
        <is>
          <t>VILHELMINA</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20425-2025</t>
        </is>
      </c>
      <c r="B19101" s="1" t="n">
        <v>45775</v>
      </c>
      <c r="C19101" s="1" t="n">
        <v>45792</v>
      </c>
      <c r="D19101" t="inlineStr">
        <is>
          <t>VÄSTERBOTTENS LÄN</t>
        </is>
      </c>
      <c r="E19101" t="inlineStr">
        <is>
          <t>UMEÅ</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20397-2025</t>
        </is>
      </c>
      <c r="B19102" s="1" t="n">
        <v>45775</v>
      </c>
      <c r="C19102" s="1" t="n">
        <v>45792</v>
      </c>
      <c r="D19102" t="inlineStr">
        <is>
          <t>VÄSTERBOTTENS LÄN</t>
        </is>
      </c>
      <c r="E19102" t="inlineStr">
        <is>
          <t>ÅSELE</t>
        </is>
      </c>
      <c r="G19102" t="n">
        <v>11.9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20432-2025</t>
        </is>
      </c>
      <c r="B19103" s="1" t="n">
        <v>45775</v>
      </c>
      <c r="C19103" s="1" t="n">
        <v>45792</v>
      </c>
      <c r="D19103" t="inlineStr">
        <is>
          <t>VÄSTERBOTTENS LÄN</t>
        </is>
      </c>
      <c r="E19103" t="inlineStr">
        <is>
          <t>VÄNNÄS</t>
        </is>
      </c>
      <c r="G19103" t="n">
        <v>2.8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20405-2025</t>
        </is>
      </c>
      <c r="B19104" s="1" t="n">
        <v>45775</v>
      </c>
      <c r="C19104" s="1" t="n">
        <v>45792</v>
      </c>
      <c r="D19104" t="inlineStr">
        <is>
          <t>VÄSTERBOTTENS LÄN</t>
        </is>
      </c>
      <c r="E19104" t="inlineStr">
        <is>
          <t>ÅSELE</t>
        </is>
      </c>
      <c r="G19104" t="n">
        <v>3.7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20390-2025</t>
        </is>
      </c>
      <c r="B19105" s="1" t="n">
        <v>45775</v>
      </c>
      <c r="C19105" s="1" t="n">
        <v>45792</v>
      </c>
      <c r="D19105" t="inlineStr">
        <is>
          <t>VÄSTERBOTTENS LÄN</t>
        </is>
      </c>
      <c r="E19105" t="inlineStr">
        <is>
          <t>VINDELN</t>
        </is>
      </c>
      <c r="F19105" t="inlineStr">
        <is>
          <t>SCA</t>
        </is>
      </c>
      <c r="G19105" t="n">
        <v>8.300000000000001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20455-2025</t>
        </is>
      </c>
      <c r="B19106" s="1" t="n">
        <v>45775</v>
      </c>
      <c r="C19106" s="1" t="n">
        <v>45792</v>
      </c>
      <c r="D19106" t="inlineStr">
        <is>
          <t>VÄSTERBOTTENS LÄN</t>
        </is>
      </c>
      <c r="E19106" t="inlineStr">
        <is>
          <t>ÅSELE</t>
        </is>
      </c>
      <c r="F19106" t="inlineStr">
        <is>
          <t>SCA</t>
        </is>
      </c>
      <c r="G19106" t="n">
        <v>18.4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20481-2025</t>
        </is>
      </c>
      <c r="B19107" s="1" t="n">
        <v>45775</v>
      </c>
      <c r="C19107" s="1" t="n">
        <v>45792</v>
      </c>
      <c r="D19107" t="inlineStr">
        <is>
          <t>VÄSTERBOTTENS LÄN</t>
        </is>
      </c>
      <c r="E19107" t="inlineStr">
        <is>
          <t>NORDMALING</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20505-2025</t>
        </is>
      </c>
      <c r="B19108" s="1" t="n">
        <v>45775</v>
      </c>
      <c r="C19108" s="1" t="n">
        <v>45792</v>
      </c>
      <c r="D19108" t="inlineStr">
        <is>
          <t>VÄSTERBOTTENS LÄN</t>
        </is>
      </c>
      <c r="E19108" t="inlineStr">
        <is>
          <t>SKELLEFTEÅ</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20591-2025</t>
        </is>
      </c>
      <c r="B19109" s="1" t="n">
        <v>45775</v>
      </c>
      <c r="C19109" s="1" t="n">
        <v>45792</v>
      </c>
      <c r="D19109" t="inlineStr">
        <is>
          <t>VÄSTERBOTTENS LÄN</t>
        </is>
      </c>
      <c r="E19109" t="inlineStr">
        <is>
          <t>VILHELMINA</t>
        </is>
      </c>
      <c r="F19109" t="inlineStr">
        <is>
          <t>SCA</t>
        </is>
      </c>
      <c r="G19109" t="n">
        <v>27.4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20384-2025</t>
        </is>
      </c>
      <c r="B19110" s="1" t="n">
        <v>45775</v>
      </c>
      <c r="C19110" s="1" t="n">
        <v>45792</v>
      </c>
      <c r="D19110" t="inlineStr">
        <is>
          <t>VÄSTERBOTTENS LÄN</t>
        </is>
      </c>
      <c r="E19110" t="inlineStr">
        <is>
          <t>ÅSELE</t>
        </is>
      </c>
      <c r="G19110" t="n">
        <v>12.6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20344-2025</t>
        </is>
      </c>
      <c r="B19111" s="1" t="n">
        <v>45775</v>
      </c>
      <c r="C19111" s="1" t="n">
        <v>45792</v>
      </c>
      <c r="D19111" t="inlineStr">
        <is>
          <t>VÄSTERBOTTENS LÄN</t>
        </is>
      </c>
      <c r="E19111" t="inlineStr">
        <is>
          <t>LYCKSELE</t>
        </is>
      </c>
      <c r="F19111" t="inlineStr">
        <is>
          <t>Sveaskog</t>
        </is>
      </c>
      <c r="G19111" t="n">
        <v>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20560-2025</t>
        </is>
      </c>
      <c r="B19112" s="1" t="n">
        <v>45775</v>
      </c>
      <c r="C19112" s="1" t="n">
        <v>45792</v>
      </c>
      <c r="D19112" t="inlineStr">
        <is>
          <t>VÄSTERBOTTENS LÄN</t>
        </is>
      </c>
      <c r="E19112" t="inlineStr">
        <is>
          <t>LYCKSELE</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20471-2025</t>
        </is>
      </c>
      <c r="B19113" s="1" t="n">
        <v>45775</v>
      </c>
      <c r="C19113" s="1" t="n">
        <v>45792</v>
      </c>
      <c r="D19113" t="inlineStr">
        <is>
          <t>VÄSTERBOTTENS LÄN</t>
        </is>
      </c>
      <c r="E19113" t="inlineStr">
        <is>
          <t>NORDMALING</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20453-2025</t>
        </is>
      </c>
      <c r="B19114" s="1" t="n">
        <v>45775</v>
      </c>
      <c r="C19114" s="1" t="n">
        <v>45792</v>
      </c>
      <c r="D19114" t="inlineStr">
        <is>
          <t>VÄSTERBOTTENS LÄN</t>
        </is>
      </c>
      <c r="E19114" t="inlineStr">
        <is>
          <t>SORSELE</t>
        </is>
      </c>
      <c r="G19114" t="n">
        <v>5.3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20467-2025</t>
        </is>
      </c>
      <c r="B19115" s="1" t="n">
        <v>45775</v>
      </c>
      <c r="C19115" s="1" t="n">
        <v>45792</v>
      </c>
      <c r="D19115" t="inlineStr">
        <is>
          <t>VÄSTERBOTTENS LÄN</t>
        </is>
      </c>
      <c r="E19115" t="inlineStr">
        <is>
          <t>UMEÅ</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20336-2025</t>
        </is>
      </c>
      <c r="B19116" s="1" t="n">
        <v>45775</v>
      </c>
      <c r="C19116" s="1" t="n">
        <v>45792</v>
      </c>
      <c r="D19116" t="inlineStr">
        <is>
          <t>VÄSTERBOTTENS LÄN</t>
        </is>
      </c>
      <c r="E19116" t="inlineStr">
        <is>
          <t>VILHELMINA</t>
        </is>
      </c>
      <c r="F19116" t="inlineStr">
        <is>
          <t>SCA</t>
        </is>
      </c>
      <c r="G19116" t="n">
        <v>9.4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20519-2025</t>
        </is>
      </c>
      <c r="B19117" s="1" t="n">
        <v>45775</v>
      </c>
      <c r="C19117" s="1" t="n">
        <v>45792</v>
      </c>
      <c r="D19117" t="inlineStr">
        <is>
          <t>VÄSTERBOTTENS LÄN</t>
        </is>
      </c>
      <c r="E19117" t="inlineStr">
        <is>
          <t>SKELLEFTEÅ</t>
        </is>
      </c>
      <c r="G19117" t="n">
        <v>4.7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20340-2025</t>
        </is>
      </c>
      <c r="B19118" s="1" t="n">
        <v>45775</v>
      </c>
      <c r="C19118" s="1" t="n">
        <v>45792</v>
      </c>
      <c r="D19118" t="inlineStr">
        <is>
          <t>VÄSTERBOTTENS LÄN</t>
        </is>
      </c>
      <c r="E19118" t="inlineStr">
        <is>
          <t>SKELLEFTEÅ</t>
        </is>
      </c>
      <c r="G19118" t="n">
        <v>12.5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20378-2025</t>
        </is>
      </c>
      <c r="B19119" s="1" t="n">
        <v>45775</v>
      </c>
      <c r="C19119" s="1" t="n">
        <v>45792</v>
      </c>
      <c r="D19119" t="inlineStr">
        <is>
          <t>VÄSTERBOTTENS LÄN</t>
        </is>
      </c>
      <c r="E19119" t="inlineStr">
        <is>
          <t>SKELLEFTEÅ</t>
        </is>
      </c>
      <c r="G19119" t="n">
        <v>4.1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20508-2025</t>
        </is>
      </c>
      <c r="B19120" s="1" t="n">
        <v>45775</v>
      </c>
      <c r="C19120" s="1" t="n">
        <v>45792</v>
      </c>
      <c r="D19120" t="inlineStr">
        <is>
          <t>VÄSTERBOTTENS LÄN</t>
        </is>
      </c>
      <c r="E19120" t="inlineStr">
        <is>
          <t>LYCKSELE</t>
        </is>
      </c>
      <c r="G19120" t="n">
        <v>1.5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20494-2025</t>
        </is>
      </c>
      <c r="B19121" s="1" t="n">
        <v>45775</v>
      </c>
      <c r="C19121" s="1" t="n">
        <v>45792</v>
      </c>
      <c r="D19121" t="inlineStr">
        <is>
          <t>VÄSTERBOTTENS LÄN</t>
        </is>
      </c>
      <c r="E19121" t="inlineStr">
        <is>
          <t>SKELLEFTEÅ</t>
        </is>
      </c>
      <c r="G19121" t="n">
        <v>3.8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20800-2025</t>
        </is>
      </c>
      <c r="B19122" s="1" t="n">
        <v>45776</v>
      </c>
      <c r="C19122" s="1" t="n">
        <v>45792</v>
      </c>
      <c r="D19122" t="inlineStr">
        <is>
          <t>VÄSTERBOTTENS LÄN</t>
        </is>
      </c>
      <c r="E19122" t="inlineStr">
        <is>
          <t>VINDELN</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20796-2025</t>
        </is>
      </c>
      <c r="B19123" s="1" t="n">
        <v>45776</v>
      </c>
      <c r="C19123" s="1" t="n">
        <v>45792</v>
      </c>
      <c r="D19123" t="inlineStr">
        <is>
          <t>VÄSTERBOTTENS LÄN</t>
        </is>
      </c>
      <c r="E19123" t="inlineStr">
        <is>
          <t>VINDELN</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20685-2025</t>
        </is>
      </c>
      <c r="B19124" s="1" t="n">
        <v>45776</v>
      </c>
      <c r="C19124" s="1" t="n">
        <v>45792</v>
      </c>
      <c r="D19124" t="inlineStr">
        <is>
          <t>VÄSTERBOTTENS LÄN</t>
        </is>
      </c>
      <c r="E19124" t="inlineStr">
        <is>
          <t>LYCKSELE</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20671-2025</t>
        </is>
      </c>
      <c r="B19125" s="1" t="n">
        <v>45776</v>
      </c>
      <c r="C19125" s="1" t="n">
        <v>45792</v>
      </c>
      <c r="D19125" t="inlineStr">
        <is>
          <t>VÄSTERBOTTENS LÄN</t>
        </is>
      </c>
      <c r="E19125" t="inlineStr">
        <is>
          <t>LYCKSELE</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20640-2025</t>
        </is>
      </c>
      <c r="B19126" s="1" t="n">
        <v>45776</v>
      </c>
      <c r="C19126" s="1" t="n">
        <v>45792</v>
      </c>
      <c r="D19126" t="inlineStr">
        <is>
          <t>VÄSTERBOTTENS LÄN</t>
        </is>
      </c>
      <c r="E19126" t="inlineStr">
        <is>
          <t>VÄNNÄS</t>
        </is>
      </c>
      <c r="G19126" t="n">
        <v>5.2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20738-2025</t>
        </is>
      </c>
      <c r="B19127" s="1" t="n">
        <v>45776</v>
      </c>
      <c r="C19127" s="1" t="n">
        <v>45792</v>
      </c>
      <c r="D19127" t="inlineStr">
        <is>
          <t>VÄSTERBOTTENS LÄN</t>
        </is>
      </c>
      <c r="E19127" t="inlineStr">
        <is>
          <t>VINDELN</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20743-2025</t>
        </is>
      </c>
      <c r="B19128" s="1" t="n">
        <v>45776</v>
      </c>
      <c r="C19128" s="1" t="n">
        <v>45792</v>
      </c>
      <c r="D19128" t="inlineStr">
        <is>
          <t>VÄSTERBOTTENS LÄN</t>
        </is>
      </c>
      <c r="E19128" t="inlineStr">
        <is>
          <t>VINDELN</t>
        </is>
      </c>
      <c r="G19128" t="n">
        <v>5.9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20768-2025</t>
        </is>
      </c>
      <c r="B19129" s="1" t="n">
        <v>45776</v>
      </c>
      <c r="C19129" s="1" t="n">
        <v>45792</v>
      </c>
      <c r="D19129" t="inlineStr">
        <is>
          <t>VÄSTERBOTTENS LÄN</t>
        </is>
      </c>
      <c r="E19129" t="inlineStr">
        <is>
          <t>NORDMALING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20825-2025</t>
        </is>
      </c>
      <c r="B19130" s="1" t="n">
        <v>45776</v>
      </c>
      <c r="C19130" s="1" t="n">
        <v>45792</v>
      </c>
      <c r="D19130" t="inlineStr">
        <is>
          <t>VÄSTERBOTTENS LÄN</t>
        </is>
      </c>
      <c r="E19130" t="inlineStr">
        <is>
          <t>SKELLEFTEÅ</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20741-2025</t>
        </is>
      </c>
      <c r="B19131" s="1" t="n">
        <v>45776</v>
      </c>
      <c r="C19131" s="1" t="n">
        <v>45792</v>
      </c>
      <c r="D19131" t="inlineStr">
        <is>
          <t>VÄSTERBOTTENS LÄN</t>
        </is>
      </c>
      <c r="E19131" t="inlineStr">
        <is>
          <t>VINDELN</t>
        </is>
      </c>
      <c r="G19131" t="n">
        <v>4.4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20751-2025</t>
        </is>
      </c>
      <c r="B19132" s="1" t="n">
        <v>45776</v>
      </c>
      <c r="C19132" s="1" t="n">
        <v>45792</v>
      </c>
      <c r="D19132" t="inlineStr">
        <is>
          <t>VÄSTERBOTTENS LÄN</t>
        </is>
      </c>
      <c r="E19132" t="inlineStr">
        <is>
          <t>ROBERTSFORS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20824-2025</t>
        </is>
      </c>
      <c r="B19133" s="1" t="n">
        <v>45776</v>
      </c>
      <c r="C19133" s="1" t="n">
        <v>45792</v>
      </c>
      <c r="D19133" t="inlineStr">
        <is>
          <t>VÄSTERBOTTENS LÄN</t>
        </is>
      </c>
      <c r="E19133" t="inlineStr">
        <is>
          <t>SKELLEFTEÅ</t>
        </is>
      </c>
      <c r="G19133" t="n">
        <v>6.8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20802-2025</t>
        </is>
      </c>
      <c r="B19134" s="1" t="n">
        <v>45776</v>
      </c>
      <c r="C19134" s="1" t="n">
        <v>45792</v>
      </c>
      <c r="D19134" t="inlineStr">
        <is>
          <t>VÄSTERBOTTENS LÄN</t>
        </is>
      </c>
      <c r="E19134" t="inlineStr">
        <is>
          <t>ROBERTSFORS</t>
        </is>
      </c>
      <c r="F19134" t="inlineStr">
        <is>
          <t>Holmen skog AB</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20647-2025</t>
        </is>
      </c>
      <c r="B19135" s="1" t="n">
        <v>45776</v>
      </c>
      <c r="C19135" s="1" t="n">
        <v>45792</v>
      </c>
      <c r="D19135" t="inlineStr">
        <is>
          <t>VÄSTERBOTTENS LÄN</t>
        </is>
      </c>
      <c r="E19135" t="inlineStr">
        <is>
          <t>VINDELN</t>
        </is>
      </c>
      <c r="G19135" t="n">
        <v>7.5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20744-2025</t>
        </is>
      </c>
      <c r="B19136" s="1" t="n">
        <v>45776</v>
      </c>
      <c r="C19136" s="1" t="n">
        <v>45792</v>
      </c>
      <c r="D19136" t="inlineStr">
        <is>
          <t>VÄSTERBOTTENS LÄN</t>
        </is>
      </c>
      <c r="E19136" t="inlineStr">
        <is>
          <t>ROBERTSFORS</t>
        </is>
      </c>
      <c r="F19136" t="inlineStr">
        <is>
          <t>Holmen skog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21069-2025</t>
        </is>
      </c>
      <c r="B19137" s="1" t="n">
        <v>45777</v>
      </c>
      <c r="C19137" s="1" t="n">
        <v>45792</v>
      </c>
      <c r="D19137" t="inlineStr">
        <is>
          <t>VÄSTERBOTTENS LÄN</t>
        </is>
      </c>
      <c r="E19137" t="inlineStr">
        <is>
          <t>VILHELMINA</t>
        </is>
      </c>
      <c r="F19137" t="inlineStr">
        <is>
          <t>SCA</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20869-2025</t>
        </is>
      </c>
      <c r="B19138" s="1" t="n">
        <v>45777</v>
      </c>
      <c r="C19138" s="1" t="n">
        <v>45792</v>
      </c>
      <c r="D19138" t="inlineStr">
        <is>
          <t>VÄSTERBOTTENS LÄN</t>
        </is>
      </c>
      <c r="E19138" t="inlineStr">
        <is>
          <t>DOROTEA</t>
        </is>
      </c>
      <c r="F19138" t="inlineStr">
        <is>
          <t>SCA</t>
        </is>
      </c>
      <c r="G19138" t="n">
        <v>6.1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20900-2025</t>
        </is>
      </c>
      <c r="B19139" s="1" t="n">
        <v>45777</v>
      </c>
      <c r="C19139" s="1" t="n">
        <v>45792</v>
      </c>
      <c r="D19139" t="inlineStr">
        <is>
          <t>VÄSTERBOTTENS LÄN</t>
        </is>
      </c>
      <c r="E19139" t="inlineStr">
        <is>
          <t>VINDELN</t>
        </is>
      </c>
      <c r="F19139" t="inlineStr">
        <is>
          <t>Holmen skog AB</t>
        </is>
      </c>
      <c r="G19139" t="n">
        <v>13.4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21044-2025</t>
        </is>
      </c>
      <c r="B19140" s="1" t="n">
        <v>45777</v>
      </c>
      <c r="C19140" s="1" t="n">
        <v>45792</v>
      </c>
      <c r="D19140" t="inlineStr">
        <is>
          <t>VÄSTERBOTTENS LÄN</t>
        </is>
      </c>
      <c r="E19140" t="inlineStr">
        <is>
          <t>ÅSELE</t>
        </is>
      </c>
      <c r="F19140" t="inlineStr">
        <is>
          <t>SCA</t>
        </is>
      </c>
      <c r="G19140" t="n">
        <v>3.7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21046-2025</t>
        </is>
      </c>
      <c r="B19141" s="1" t="n">
        <v>45777</v>
      </c>
      <c r="C19141" s="1" t="n">
        <v>45792</v>
      </c>
      <c r="D19141" t="inlineStr">
        <is>
          <t>VÄSTERBOTTENS LÄN</t>
        </is>
      </c>
      <c r="E19141" t="inlineStr">
        <is>
          <t>LYCKSELE</t>
        </is>
      </c>
      <c r="F19141" t="inlineStr">
        <is>
          <t>Holmen skog AB</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20968-2025</t>
        </is>
      </c>
      <c r="B19142" s="1" t="n">
        <v>45777</v>
      </c>
      <c r="C19142" s="1" t="n">
        <v>45792</v>
      </c>
      <c r="D19142" t="inlineStr">
        <is>
          <t>VÄSTERBOTTENS LÄN</t>
        </is>
      </c>
      <c r="E19142" t="inlineStr">
        <is>
          <t>VINDELN</t>
        </is>
      </c>
      <c r="F19142" t="inlineStr">
        <is>
          <t>Sveaskog</t>
        </is>
      </c>
      <c r="G19142" t="n">
        <v>31.1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20979-2025</t>
        </is>
      </c>
      <c r="B19143" s="1" t="n">
        <v>45777</v>
      </c>
      <c r="C19143" s="1" t="n">
        <v>45792</v>
      </c>
      <c r="D19143" t="inlineStr">
        <is>
          <t>VÄSTERBOTTENS LÄN</t>
        </is>
      </c>
      <c r="E19143" t="inlineStr">
        <is>
          <t>LYCKSELE</t>
        </is>
      </c>
      <c r="F19143" t="inlineStr">
        <is>
          <t>Sveaskog</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20913-2025</t>
        </is>
      </c>
      <c r="B19144" s="1" t="n">
        <v>45777</v>
      </c>
      <c r="C19144" s="1" t="n">
        <v>45792</v>
      </c>
      <c r="D19144" t="inlineStr">
        <is>
          <t>VÄSTERBOTTENS LÄN</t>
        </is>
      </c>
      <c r="E19144" t="inlineStr">
        <is>
          <t>SKELLEFTEÅ</t>
        </is>
      </c>
      <c r="G19144" t="n">
        <v>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20921-2025</t>
        </is>
      </c>
      <c r="B19145" s="1" t="n">
        <v>45777</v>
      </c>
      <c r="C19145" s="1" t="n">
        <v>45792</v>
      </c>
      <c r="D19145" t="inlineStr">
        <is>
          <t>VÄSTERBOTTENS LÄN</t>
        </is>
      </c>
      <c r="E19145" t="inlineStr">
        <is>
          <t>SKELLEFTEÅ</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21034-2025</t>
        </is>
      </c>
      <c r="B19146" s="1" t="n">
        <v>45777</v>
      </c>
      <c r="C19146" s="1" t="n">
        <v>45792</v>
      </c>
      <c r="D19146" t="inlineStr">
        <is>
          <t>VÄSTERBOTTENS LÄN</t>
        </is>
      </c>
      <c r="E19146" t="inlineStr">
        <is>
          <t>SKELLEFTEÅ</t>
        </is>
      </c>
      <c r="G19146" t="n">
        <v>6.7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21014-2025</t>
        </is>
      </c>
      <c r="B19147" s="1" t="n">
        <v>45777</v>
      </c>
      <c r="C19147" s="1" t="n">
        <v>45792</v>
      </c>
      <c r="D19147" t="inlineStr">
        <is>
          <t>VÄSTERBOTTENS LÄN</t>
        </is>
      </c>
      <c r="E19147" t="inlineStr">
        <is>
          <t>VINDELN</t>
        </is>
      </c>
      <c r="F19147" t="inlineStr">
        <is>
          <t>Sveaskog</t>
        </is>
      </c>
      <c r="G19147" t="n">
        <v>4.2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20941-2025</t>
        </is>
      </c>
      <c r="B19148" s="1" t="n">
        <v>45777</v>
      </c>
      <c r="C19148" s="1" t="n">
        <v>45792</v>
      </c>
      <c r="D19148" t="inlineStr">
        <is>
          <t>VÄSTERBOTTENS LÄN</t>
        </is>
      </c>
      <c r="E19148" t="inlineStr">
        <is>
          <t>VINDELN</t>
        </is>
      </c>
      <c r="F19148" t="inlineStr">
        <is>
          <t>Sveaskog</t>
        </is>
      </c>
      <c r="G19148" t="n">
        <v>8.199999999999999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20973-2025</t>
        </is>
      </c>
      <c r="B19149" s="1" t="n">
        <v>45777</v>
      </c>
      <c r="C19149" s="1" t="n">
        <v>45792</v>
      </c>
      <c r="D19149" t="inlineStr">
        <is>
          <t>VÄSTERBOTTENS LÄN</t>
        </is>
      </c>
      <c r="E19149" t="inlineStr">
        <is>
          <t>BJURHOLM</t>
        </is>
      </c>
      <c r="F19149" t="inlineStr">
        <is>
          <t>Sveaskog</t>
        </is>
      </c>
      <c r="G19149" t="n">
        <v>7.6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20964-2025</t>
        </is>
      </c>
      <c r="B19150" s="1" t="n">
        <v>45777</v>
      </c>
      <c r="C19150" s="1" t="n">
        <v>45792</v>
      </c>
      <c r="D19150" t="inlineStr">
        <is>
          <t>VÄSTERBOTTENS LÄN</t>
        </is>
      </c>
      <c r="E19150" t="inlineStr">
        <is>
          <t>VINDELN</t>
        </is>
      </c>
      <c r="F19150" t="inlineStr">
        <is>
          <t>Sveaskog</t>
        </is>
      </c>
      <c r="G19150" t="n">
        <v>11.6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21090-2025</t>
        </is>
      </c>
      <c r="B19151" s="1" t="n">
        <v>45777</v>
      </c>
      <c r="C19151" s="1" t="n">
        <v>45792</v>
      </c>
      <c r="D19151" t="inlineStr">
        <is>
          <t>VÄSTERBOTTENS LÄN</t>
        </is>
      </c>
      <c r="E19151" t="inlineStr">
        <is>
          <t>VÄNNÄS</t>
        </is>
      </c>
      <c r="G19151" t="n">
        <v>2.6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21095-2025</t>
        </is>
      </c>
      <c r="B19152" s="1" t="n">
        <v>45777</v>
      </c>
      <c r="C19152" s="1" t="n">
        <v>45792</v>
      </c>
      <c r="D19152" t="inlineStr">
        <is>
          <t>VÄSTERBOTTENS LÄN</t>
        </is>
      </c>
      <c r="E19152" t="inlineStr">
        <is>
          <t>ÅSELE</t>
        </is>
      </c>
      <c r="F19152" t="inlineStr">
        <is>
          <t>SCA</t>
        </is>
      </c>
      <c r="G19152" t="n">
        <v>1.5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20958-2025</t>
        </is>
      </c>
      <c r="B19153" s="1" t="n">
        <v>45777</v>
      </c>
      <c r="C19153" s="1" t="n">
        <v>45792</v>
      </c>
      <c r="D19153" t="inlineStr">
        <is>
          <t>VÄSTERBOTTENS LÄN</t>
        </is>
      </c>
      <c r="E19153" t="inlineStr">
        <is>
          <t>LYCKSELE</t>
        </is>
      </c>
      <c r="F19153" t="inlineStr">
        <is>
          <t>Sveaskog</t>
        </is>
      </c>
      <c r="G19153" t="n">
        <v>31.1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20983-2025</t>
        </is>
      </c>
      <c r="B19154" s="1" t="n">
        <v>45777</v>
      </c>
      <c r="C19154" s="1" t="n">
        <v>45792</v>
      </c>
      <c r="D19154" t="inlineStr">
        <is>
          <t>VÄSTERBOTTENS LÄN</t>
        </is>
      </c>
      <c r="E19154" t="inlineStr">
        <is>
          <t>VILHELMINA</t>
        </is>
      </c>
      <c r="F19154" t="inlineStr">
        <is>
          <t>SCA</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21013-2025</t>
        </is>
      </c>
      <c r="B19155" s="1" t="n">
        <v>45777</v>
      </c>
      <c r="C19155" s="1" t="n">
        <v>45792</v>
      </c>
      <c r="D19155" t="inlineStr">
        <is>
          <t>VÄSTERBOTTENS LÄN</t>
        </is>
      </c>
      <c r="E19155" t="inlineStr">
        <is>
          <t>VINDELN</t>
        </is>
      </c>
      <c r="F19155" t="inlineStr">
        <is>
          <t>Sveaskog</t>
        </is>
      </c>
      <c r="G19155" t="n">
        <v>17.5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20846-2025</t>
        </is>
      </c>
      <c r="B19156" s="1" t="n">
        <v>45777</v>
      </c>
      <c r="C19156" s="1" t="n">
        <v>45792</v>
      </c>
      <c r="D19156" t="inlineStr">
        <is>
          <t>VÄSTERBOTTENS LÄN</t>
        </is>
      </c>
      <c r="E19156" t="inlineStr">
        <is>
          <t>VILHELMINA</t>
        </is>
      </c>
      <c r="G19156" t="n">
        <v>19.1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21075-2025</t>
        </is>
      </c>
      <c r="B19157" s="1" t="n">
        <v>45777</v>
      </c>
      <c r="C19157" s="1" t="n">
        <v>45792</v>
      </c>
      <c r="D19157" t="inlineStr">
        <is>
          <t>VÄSTERBOTTENS LÄN</t>
        </is>
      </c>
      <c r="E19157" t="inlineStr">
        <is>
          <t>VÄNNÄS</t>
        </is>
      </c>
      <c r="G19157" t="n">
        <v>8.6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20865-2025</t>
        </is>
      </c>
      <c r="B19158" s="1" t="n">
        <v>45777</v>
      </c>
      <c r="C19158" s="1" t="n">
        <v>45792</v>
      </c>
      <c r="D19158" t="inlineStr">
        <is>
          <t>VÄSTERBOTTENS LÄN</t>
        </is>
      </c>
      <c r="E19158" t="inlineStr">
        <is>
          <t>SKELLEFTEÅ</t>
        </is>
      </c>
      <c r="F19158" t="inlineStr">
        <is>
          <t>SCA</t>
        </is>
      </c>
      <c r="G19158" t="n">
        <v>8.4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20981-2025</t>
        </is>
      </c>
      <c r="B19159" s="1" t="n">
        <v>45777</v>
      </c>
      <c r="C19159" s="1" t="n">
        <v>45792</v>
      </c>
      <c r="D19159" t="inlineStr">
        <is>
          <t>VÄSTERBOTTENS LÄN</t>
        </is>
      </c>
      <c r="E19159" t="inlineStr">
        <is>
          <t>UMEÅ</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20962-2025</t>
        </is>
      </c>
      <c r="B19160" s="1" t="n">
        <v>45777</v>
      </c>
      <c r="C19160" s="1" t="n">
        <v>45792</v>
      </c>
      <c r="D19160" t="inlineStr">
        <is>
          <t>VÄSTERBOTTENS LÄN</t>
        </is>
      </c>
      <c r="E19160" t="inlineStr">
        <is>
          <t>VINDELN</t>
        </is>
      </c>
      <c r="F19160" t="inlineStr">
        <is>
          <t>Holmen skog AB</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21035-2025</t>
        </is>
      </c>
      <c r="B19161" s="1" t="n">
        <v>45777</v>
      </c>
      <c r="C19161" s="1" t="n">
        <v>45792</v>
      </c>
      <c r="D19161" t="inlineStr">
        <is>
          <t>VÄSTERBOTTENS LÄN</t>
        </is>
      </c>
      <c r="E19161" t="inlineStr">
        <is>
          <t>VILHELMINA</t>
        </is>
      </c>
      <c r="F19161" t="inlineStr">
        <is>
          <t>SCA</t>
        </is>
      </c>
      <c r="G19161" t="n">
        <v>3.8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20991-2025</t>
        </is>
      </c>
      <c r="B19162" s="1" t="n">
        <v>45777</v>
      </c>
      <c r="C19162" s="1" t="n">
        <v>45792</v>
      </c>
      <c r="D19162" t="inlineStr">
        <is>
          <t>VÄSTERBOTTENS LÄN</t>
        </is>
      </c>
      <c r="E19162" t="inlineStr">
        <is>
          <t>VINDELN</t>
        </is>
      </c>
      <c r="F19162" t="inlineStr">
        <is>
          <t>Holmen skog AB</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21127-2025</t>
        </is>
      </c>
      <c r="B19163" s="1" t="n">
        <v>45778</v>
      </c>
      <c r="C19163" s="1" t="n">
        <v>45792</v>
      </c>
      <c r="D19163" t="inlineStr">
        <is>
          <t>VÄSTERBOTTENS LÄN</t>
        </is>
      </c>
      <c r="E19163" t="inlineStr">
        <is>
          <t>DOROTEA</t>
        </is>
      </c>
      <c r="F19163" t="inlineStr">
        <is>
          <t>SCA</t>
        </is>
      </c>
      <c r="G19163" t="n">
        <v>9.1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21131-2025</t>
        </is>
      </c>
      <c r="B19164" s="1" t="n">
        <v>45778</v>
      </c>
      <c r="C19164" s="1" t="n">
        <v>45792</v>
      </c>
      <c r="D19164" t="inlineStr">
        <is>
          <t>VÄSTERBOTTENS LÄN</t>
        </is>
      </c>
      <c r="E19164" t="inlineStr">
        <is>
          <t>SKELLEFTEÅ</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21265-2025</t>
        </is>
      </c>
      <c r="B19165" s="1" t="n">
        <v>45779</v>
      </c>
      <c r="C19165" s="1" t="n">
        <v>45792</v>
      </c>
      <c r="D19165" t="inlineStr">
        <is>
          <t>VÄSTERBOTTENS LÄN</t>
        </is>
      </c>
      <c r="E19165" t="inlineStr">
        <is>
          <t>DOROTEA</t>
        </is>
      </c>
      <c r="F19165" t="inlineStr">
        <is>
          <t>SCA</t>
        </is>
      </c>
      <c r="G19165" t="n">
        <v>3.1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21266-2025</t>
        </is>
      </c>
      <c r="B19166" s="1" t="n">
        <v>45779</v>
      </c>
      <c r="C19166" s="1" t="n">
        <v>45792</v>
      </c>
      <c r="D19166" t="inlineStr">
        <is>
          <t>VÄSTERBOTTENS LÄN</t>
        </is>
      </c>
      <c r="E19166" t="inlineStr">
        <is>
          <t>LYCKSELE</t>
        </is>
      </c>
      <c r="F19166" t="inlineStr">
        <is>
          <t>SCA</t>
        </is>
      </c>
      <c r="G19166" t="n">
        <v>3.3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21190-2025</t>
        </is>
      </c>
      <c r="B19167" s="1" t="n">
        <v>45779</v>
      </c>
      <c r="C19167" s="1" t="n">
        <v>45792</v>
      </c>
      <c r="D19167" t="inlineStr">
        <is>
          <t>VÄSTERBOTTENS LÄN</t>
        </is>
      </c>
      <c r="E19167" t="inlineStr">
        <is>
          <t>SKELLEFTEÅ</t>
        </is>
      </c>
      <c r="F19167" t="inlineStr">
        <is>
          <t>Holmen skog AB</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21272-2025</t>
        </is>
      </c>
      <c r="B19168" s="1" t="n">
        <v>45779</v>
      </c>
      <c r="C19168" s="1" t="n">
        <v>45792</v>
      </c>
      <c r="D19168" t="inlineStr">
        <is>
          <t>VÄSTERBOTTENS LÄN</t>
        </is>
      </c>
      <c r="E19168" t="inlineStr">
        <is>
          <t>SKELLEFTEÅ</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21195-2025</t>
        </is>
      </c>
      <c r="B19169" s="1" t="n">
        <v>45779</v>
      </c>
      <c r="C19169" s="1" t="n">
        <v>45792</v>
      </c>
      <c r="D19169" t="inlineStr">
        <is>
          <t>VÄSTERBOTTENS LÄN</t>
        </is>
      </c>
      <c r="E19169" t="inlineStr">
        <is>
          <t>LYCKSELE</t>
        </is>
      </c>
      <c r="F19169" t="inlineStr">
        <is>
          <t>SCA</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21145-2025</t>
        </is>
      </c>
      <c r="B19170" s="1" t="n">
        <v>45779</v>
      </c>
      <c r="C19170" s="1" t="n">
        <v>45792</v>
      </c>
      <c r="D19170" t="inlineStr">
        <is>
          <t>VÄSTERBOTTENS LÄN</t>
        </is>
      </c>
      <c r="E19170" t="inlineStr">
        <is>
          <t>ROBERTSFORS</t>
        </is>
      </c>
      <c r="G19170" t="n">
        <v>4.8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21171-2025</t>
        </is>
      </c>
      <c r="B19171" s="1" t="n">
        <v>45779</v>
      </c>
      <c r="C19171" s="1" t="n">
        <v>45792</v>
      </c>
      <c r="D19171" t="inlineStr">
        <is>
          <t>VÄSTERBOTTENS LÄN</t>
        </is>
      </c>
      <c r="E19171" t="inlineStr">
        <is>
          <t>LYCKSELE</t>
        </is>
      </c>
      <c r="F19171" t="inlineStr">
        <is>
          <t>Sveaskog</t>
        </is>
      </c>
      <c r="G19171" t="n">
        <v>4.9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21215-2025</t>
        </is>
      </c>
      <c r="B19172" s="1" t="n">
        <v>45779</v>
      </c>
      <c r="C19172" s="1" t="n">
        <v>45792</v>
      </c>
      <c r="D19172" t="inlineStr">
        <is>
          <t>VÄSTERBOTTENS LÄN</t>
        </is>
      </c>
      <c r="E19172" t="inlineStr">
        <is>
          <t>DOROTEA</t>
        </is>
      </c>
      <c r="F19172" t="inlineStr">
        <is>
          <t>SCA</t>
        </is>
      </c>
      <c r="G19172" t="n">
        <v>6.1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21144-2025</t>
        </is>
      </c>
      <c r="B19173" s="1" t="n">
        <v>45779</v>
      </c>
      <c r="C19173" s="1" t="n">
        <v>45792</v>
      </c>
      <c r="D19173" t="inlineStr">
        <is>
          <t>VÄSTERBOTTENS LÄN</t>
        </is>
      </c>
      <c r="E19173" t="inlineStr">
        <is>
          <t>ROBERTSFORS</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21186-2025</t>
        </is>
      </c>
      <c r="B19174" s="1" t="n">
        <v>45779</v>
      </c>
      <c r="C19174" s="1" t="n">
        <v>45792</v>
      </c>
      <c r="D19174" t="inlineStr">
        <is>
          <t>VÄSTERBOTTENS LÄN</t>
        </is>
      </c>
      <c r="E19174" t="inlineStr">
        <is>
          <t>VINDELN</t>
        </is>
      </c>
      <c r="F19174" t="inlineStr">
        <is>
          <t>Sveaskog</t>
        </is>
      </c>
      <c r="G19174" t="n">
        <v>16.6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21222-2025</t>
        </is>
      </c>
      <c r="B19175" s="1" t="n">
        <v>45779</v>
      </c>
      <c r="C19175" s="1" t="n">
        <v>45792</v>
      </c>
      <c r="D19175" t="inlineStr">
        <is>
          <t>VÄSTERBOTTENS LÄN</t>
        </is>
      </c>
      <c r="E19175" t="inlineStr">
        <is>
          <t>SKELLEFTEÅ</t>
        </is>
      </c>
      <c r="G19175" t="n">
        <v>4.4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21204-2025</t>
        </is>
      </c>
      <c r="B19176" s="1" t="n">
        <v>45779</v>
      </c>
      <c r="C19176" s="1" t="n">
        <v>45792</v>
      </c>
      <c r="D19176" t="inlineStr">
        <is>
          <t>VÄSTERBOTTENS LÄN</t>
        </is>
      </c>
      <c r="E19176" t="inlineStr">
        <is>
          <t>VILHELMINA</t>
        </is>
      </c>
      <c r="F19176" t="inlineStr">
        <is>
          <t>Allmännings- och besparingsskogar</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21207-2025</t>
        </is>
      </c>
      <c r="B19177" s="1" t="n">
        <v>45779</v>
      </c>
      <c r="C19177" s="1" t="n">
        <v>45792</v>
      </c>
      <c r="D19177" t="inlineStr">
        <is>
          <t>VÄSTERBOTTENS LÄN</t>
        </is>
      </c>
      <c r="E19177" t="inlineStr">
        <is>
          <t>SKELLEFTEÅ</t>
        </is>
      </c>
      <c r="F19177" t="inlineStr">
        <is>
          <t>Holmen skog AB</t>
        </is>
      </c>
      <c r="G19177" t="n">
        <v>4.8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21151-2025</t>
        </is>
      </c>
      <c r="B19178" s="1" t="n">
        <v>45779</v>
      </c>
      <c r="C19178" s="1" t="n">
        <v>45792</v>
      </c>
      <c r="D19178" t="inlineStr">
        <is>
          <t>VÄSTERBOTTENS LÄN</t>
        </is>
      </c>
      <c r="E19178" t="inlineStr">
        <is>
          <t>VINDELN</t>
        </is>
      </c>
      <c r="F19178" t="inlineStr">
        <is>
          <t>Holmen skog AB</t>
        </is>
      </c>
      <c r="G19178" t="n">
        <v>9.199999999999999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21194-2025</t>
        </is>
      </c>
      <c r="B19179" s="1" t="n">
        <v>45779</v>
      </c>
      <c r="C19179" s="1" t="n">
        <v>45792</v>
      </c>
      <c r="D19179" t="inlineStr">
        <is>
          <t>VÄSTERBOTTENS LÄN</t>
        </is>
      </c>
      <c r="E19179" t="inlineStr">
        <is>
          <t>ÅSELE</t>
        </is>
      </c>
      <c r="F19179" t="inlineStr">
        <is>
          <t>Allmännings- och besparingsskogar</t>
        </is>
      </c>
      <c r="G19179" t="n">
        <v>26.2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21205-2025</t>
        </is>
      </c>
      <c r="B19180" s="1" t="n">
        <v>45779</v>
      </c>
      <c r="C19180" s="1" t="n">
        <v>45792</v>
      </c>
      <c r="D19180" t="inlineStr">
        <is>
          <t>VÄSTERBOTTENS LÄN</t>
        </is>
      </c>
      <c r="E19180" t="inlineStr">
        <is>
          <t>VILHELMINA</t>
        </is>
      </c>
      <c r="F19180" t="inlineStr">
        <is>
          <t>Allmännings- och besparingsskogar</t>
        </is>
      </c>
      <c r="G19180" t="n">
        <v>6.2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21219-2025</t>
        </is>
      </c>
      <c r="B19181" s="1" t="n">
        <v>45779</v>
      </c>
      <c r="C19181" s="1" t="n">
        <v>45792</v>
      </c>
      <c r="D19181" t="inlineStr">
        <is>
          <t>VÄSTERBOTTENS LÄN</t>
        </is>
      </c>
      <c r="E19181" t="inlineStr">
        <is>
          <t>ÅSELE</t>
        </is>
      </c>
      <c r="F19181" t="inlineStr">
        <is>
          <t>Holmen skog AB</t>
        </is>
      </c>
      <c r="G19181" t="n">
        <v>4.6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21148-2025</t>
        </is>
      </c>
      <c r="B19182" s="1" t="n">
        <v>45779</v>
      </c>
      <c r="C19182" s="1" t="n">
        <v>45792</v>
      </c>
      <c r="D19182" t="inlineStr">
        <is>
          <t>VÄSTERBOTTENS LÄN</t>
        </is>
      </c>
      <c r="E19182" t="inlineStr">
        <is>
          <t>ROBERTSFORS</t>
        </is>
      </c>
      <c r="G19182" t="n">
        <v>7.5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21192-2025</t>
        </is>
      </c>
      <c r="B19183" s="1" t="n">
        <v>45779</v>
      </c>
      <c r="C19183" s="1" t="n">
        <v>45792</v>
      </c>
      <c r="D19183" t="inlineStr">
        <is>
          <t>VÄSTERBOTTENS LÄN</t>
        </is>
      </c>
      <c r="E19183" t="inlineStr">
        <is>
          <t>VINDELN</t>
        </is>
      </c>
      <c r="F19183" t="inlineStr">
        <is>
          <t>Sveaskog</t>
        </is>
      </c>
      <c r="G19183" t="n">
        <v>7.2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21198-2025</t>
        </is>
      </c>
      <c r="B19184" s="1" t="n">
        <v>45779</v>
      </c>
      <c r="C19184" s="1" t="n">
        <v>45792</v>
      </c>
      <c r="D19184" t="inlineStr">
        <is>
          <t>VÄSTERBOTTENS LÄN</t>
        </is>
      </c>
      <c r="E19184" t="inlineStr">
        <is>
          <t>ÅSELE</t>
        </is>
      </c>
      <c r="F19184" t="inlineStr">
        <is>
          <t>Allmännings- och besparingsskogar</t>
        </is>
      </c>
      <c r="G19184" t="n">
        <v>5.9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21143-2025</t>
        </is>
      </c>
      <c r="B19185" s="1" t="n">
        <v>45779</v>
      </c>
      <c r="C19185" s="1" t="n">
        <v>45792</v>
      </c>
      <c r="D19185" t="inlineStr">
        <is>
          <t>VÄSTERBOTTENS LÄN</t>
        </is>
      </c>
      <c r="E19185" t="inlineStr">
        <is>
          <t>ROBERTSFORS</t>
        </is>
      </c>
      <c r="G19185" t="n">
        <v>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21228-2025</t>
        </is>
      </c>
      <c r="B19186" s="1" t="n">
        <v>45779</v>
      </c>
      <c r="C19186" s="1" t="n">
        <v>45792</v>
      </c>
      <c r="D19186" t="inlineStr">
        <is>
          <t>VÄSTERBOTTENS LÄN</t>
        </is>
      </c>
      <c r="E19186" t="inlineStr">
        <is>
          <t>UMEÅ</t>
        </is>
      </c>
      <c r="F19186" t="inlineStr">
        <is>
          <t>Holmen skog AB</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21289-2025</t>
        </is>
      </c>
      <c r="B19187" s="1" t="n">
        <v>45779</v>
      </c>
      <c r="C19187" s="1" t="n">
        <v>45792</v>
      </c>
      <c r="D19187" t="inlineStr">
        <is>
          <t>VÄSTERBOTTENS LÄN</t>
        </is>
      </c>
      <c r="E19187" t="inlineStr">
        <is>
          <t>LYCKSELE</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21374-2025</t>
        </is>
      </c>
      <c r="B19188" s="1" t="n">
        <v>45782</v>
      </c>
      <c r="C19188" s="1" t="n">
        <v>45792</v>
      </c>
      <c r="D19188" t="inlineStr">
        <is>
          <t>VÄSTERBOTTENS LÄN</t>
        </is>
      </c>
      <c r="E19188" t="inlineStr">
        <is>
          <t>LYCKSELE</t>
        </is>
      </c>
      <c r="F19188" t="inlineStr">
        <is>
          <t>SCA</t>
        </is>
      </c>
      <c r="G19188" t="n">
        <v>3.1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21320-2025</t>
        </is>
      </c>
      <c r="B19189" s="1" t="n">
        <v>45782</v>
      </c>
      <c r="C19189" s="1" t="n">
        <v>45792</v>
      </c>
      <c r="D19189" t="inlineStr">
        <is>
          <t>VÄSTERBOTTENS LÄN</t>
        </is>
      </c>
      <c r="E19189" t="inlineStr">
        <is>
          <t>DOROTEA</t>
        </is>
      </c>
      <c r="F19189" t="inlineStr">
        <is>
          <t>SCA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21343-2025</t>
        </is>
      </c>
      <c r="B19190" s="1" t="n">
        <v>45782</v>
      </c>
      <c r="C19190" s="1" t="n">
        <v>45792</v>
      </c>
      <c r="D19190" t="inlineStr">
        <is>
          <t>VÄSTERBOTTENS LÄN</t>
        </is>
      </c>
      <c r="E19190" t="inlineStr">
        <is>
          <t>SKELLEFTEÅ</t>
        </is>
      </c>
      <c r="G19190" t="n">
        <v>5.3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21397-2025</t>
        </is>
      </c>
      <c r="B19191" s="1" t="n">
        <v>45782</v>
      </c>
      <c r="C19191" s="1" t="n">
        <v>45792</v>
      </c>
      <c r="D19191" t="inlineStr">
        <is>
          <t>VÄSTERBOTTENS LÄN</t>
        </is>
      </c>
      <c r="E19191" t="inlineStr">
        <is>
          <t>ROBERTSFORS</t>
        </is>
      </c>
      <c r="G19191" t="n">
        <v>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21410-2025</t>
        </is>
      </c>
      <c r="B19192" s="1" t="n">
        <v>45782</v>
      </c>
      <c r="C19192" s="1" t="n">
        <v>45792</v>
      </c>
      <c r="D19192" t="inlineStr">
        <is>
          <t>VÄSTERBOTTENS LÄN</t>
        </is>
      </c>
      <c r="E19192" t="inlineStr">
        <is>
          <t>VILHELMINA</t>
        </is>
      </c>
      <c r="F19192" t="inlineStr">
        <is>
          <t>SCA</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21420-2025</t>
        </is>
      </c>
      <c r="B19193" s="1" t="n">
        <v>45782</v>
      </c>
      <c r="C19193" s="1" t="n">
        <v>45792</v>
      </c>
      <c r="D19193" t="inlineStr">
        <is>
          <t>VÄSTERBOTTENS LÄN</t>
        </is>
      </c>
      <c r="E19193" t="inlineStr">
        <is>
          <t>SKELLEFTEÅ</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21437-2025</t>
        </is>
      </c>
      <c r="B19194" s="1" t="n">
        <v>45782</v>
      </c>
      <c r="C19194" s="1" t="n">
        <v>45792</v>
      </c>
      <c r="D19194" t="inlineStr">
        <is>
          <t>VÄSTERBOTTENS LÄN</t>
        </is>
      </c>
      <c r="E19194" t="inlineStr">
        <is>
          <t>VÄNNÄS</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21427-2025</t>
        </is>
      </c>
      <c r="B19195" s="1" t="n">
        <v>45782</v>
      </c>
      <c r="C19195" s="1" t="n">
        <v>45792</v>
      </c>
      <c r="D19195" t="inlineStr">
        <is>
          <t>VÄSTERBOTTENS LÄN</t>
        </is>
      </c>
      <c r="E19195" t="inlineStr">
        <is>
          <t>SKELLEFTEÅ</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21371-2025</t>
        </is>
      </c>
      <c r="B19196" s="1" t="n">
        <v>45782</v>
      </c>
      <c r="C19196" s="1" t="n">
        <v>45792</v>
      </c>
      <c r="D19196" t="inlineStr">
        <is>
          <t>VÄSTERBOTTENS LÄN</t>
        </is>
      </c>
      <c r="E19196" t="inlineStr">
        <is>
          <t>SORSELE</t>
        </is>
      </c>
      <c r="F19196" t="inlineStr">
        <is>
          <t>SCA</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21424-2025</t>
        </is>
      </c>
      <c r="B19197" s="1" t="n">
        <v>45782</v>
      </c>
      <c r="C19197" s="1" t="n">
        <v>45792</v>
      </c>
      <c r="D19197" t="inlineStr">
        <is>
          <t>VÄSTERBOTTENS LÄN</t>
        </is>
      </c>
      <c r="E19197" t="inlineStr">
        <is>
          <t>SKELLEFTEÅ</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21350-2025</t>
        </is>
      </c>
      <c r="B19198" s="1" t="n">
        <v>45782</v>
      </c>
      <c r="C19198" s="1" t="n">
        <v>45792</v>
      </c>
      <c r="D19198" t="inlineStr">
        <is>
          <t>VÄSTERBOTTENS LÄN</t>
        </is>
      </c>
      <c r="E19198" t="inlineStr">
        <is>
          <t>SKELLEFTEÅ</t>
        </is>
      </c>
      <c r="F19198" t="inlineStr">
        <is>
          <t>Holmen skog AB</t>
        </is>
      </c>
      <c r="G19198" t="n">
        <v>3.5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21448-2025</t>
        </is>
      </c>
      <c r="B19199" s="1" t="n">
        <v>45782</v>
      </c>
      <c r="C19199" s="1" t="n">
        <v>45792</v>
      </c>
      <c r="D19199" t="inlineStr">
        <is>
          <t>VÄSTERBOTTENS LÄN</t>
        </is>
      </c>
      <c r="E19199" t="inlineStr">
        <is>
          <t>VILHELMINA</t>
        </is>
      </c>
      <c r="F19199" t="inlineStr">
        <is>
          <t>SCA</t>
        </is>
      </c>
      <c r="G19199" t="n">
        <v>9.699999999999999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21375-2025</t>
        </is>
      </c>
      <c r="B19200" s="1" t="n">
        <v>45782</v>
      </c>
      <c r="C19200" s="1" t="n">
        <v>45792</v>
      </c>
      <c r="D19200" t="inlineStr">
        <is>
          <t>VÄSTERBOTTENS LÄN</t>
        </is>
      </c>
      <c r="E19200" t="inlineStr">
        <is>
          <t>SORSELE</t>
        </is>
      </c>
      <c r="F19200" t="inlineStr">
        <is>
          <t>SCA</t>
        </is>
      </c>
      <c r="G19200" t="n">
        <v>5.9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21381-2025</t>
        </is>
      </c>
      <c r="B19201" s="1" t="n">
        <v>45782</v>
      </c>
      <c r="C19201" s="1" t="n">
        <v>45792</v>
      </c>
      <c r="D19201" t="inlineStr">
        <is>
          <t>VÄSTERBOTTENS LÄN</t>
        </is>
      </c>
      <c r="E19201" t="inlineStr">
        <is>
          <t>SKELLEFTEÅ</t>
        </is>
      </c>
      <c r="F19201" t="inlineStr">
        <is>
          <t>Holmen skog AB</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21435-2025</t>
        </is>
      </c>
      <c r="B19202" s="1" t="n">
        <v>45782</v>
      </c>
      <c r="C19202" s="1" t="n">
        <v>45792</v>
      </c>
      <c r="D19202" t="inlineStr">
        <is>
          <t>VÄSTERBOTTENS LÄN</t>
        </is>
      </c>
      <c r="E19202" t="inlineStr">
        <is>
          <t>VÄNNÄS</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21361-2025</t>
        </is>
      </c>
      <c r="B19203" s="1" t="n">
        <v>45782</v>
      </c>
      <c r="C19203" s="1" t="n">
        <v>45792</v>
      </c>
      <c r="D19203" t="inlineStr">
        <is>
          <t>VÄSTERBOTTENS LÄN</t>
        </is>
      </c>
      <c r="E19203" t="inlineStr">
        <is>
          <t>VÄNNÄS</t>
        </is>
      </c>
      <c r="G19203" t="n">
        <v>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21514-2025</t>
        </is>
      </c>
      <c r="B19204" s="1" t="n">
        <v>45782</v>
      </c>
      <c r="C19204" s="1" t="n">
        <v>45792</v>
      </c>
      <c r="D19204" t="inlineStr">
        <is>
          <t>VÄSTERBOTTENS LÄN</t>
        </is>
      </c>
      <c r="E19204" t="inlineStr">
        <is>
          <t>UMEÅ</t>
        </is>
      </c>
      <c r="G19204" t="n">
        <v>4.4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21572-2025</t>
        </is>
      </c>
      <c r="B19205" s="1" t="n">
        <v>45782</v>
      </c>
      <c r="C19205" s="1" t="n">
        <v>45792</v>
      </c>
      <c r="D19205" t="inlineStr">
        <is>
          <t>VÄSTERBOTTENS LÄN</t>
        </is>
      </c>
      <c r="E19205" t="inlineStr">
        <is>
          <t>ROBERTSFORS</t>
        </is>
      </c>
      <c r="G19205" t="n">
        <v>5.3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21411-2025</t>
        </is>
      </c>
      <c r="B19206" s="1" t="n">
        <v>45782</v>
      </c>
      <c r="C19206" s="1" t="n">
        <v>45792</v>
      </c>
      <c r="D19206" t="inlineStr">
        <is>
          <t>VÄSTERBOTTENS LÄN</t>
        </is>
      </c>
      <c r="E19206" t="inlineStr">
        <is>
          <t>DOROTEA</t>
        </is>
      </c>
      <c r="F19206" t="inlineStr">
        <is>
          <t>SCA</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21510-2025</t>
        </is>
      </c>
      <c r="B19207" s="1" t="n">
        <v>45782</v>
      </c>
      <c r="C19207" s="1" t="n">
        <v>45792</v>
      </c>
      <c r="D19207" t="inlineStr">
        <is>
          <t>VÄSTERBOTTENS LÄN</t>
        </is>
      </c>
      <c r="E19207" t="inlineStr">
        <is>
          <t>VINDELN</t>
        </is>
      </c>
      <c r="F19207" t="inlineStr">
        <is>
          <t>Holmen skog AB</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21404-2025</t>
        </is>
      </c>
      <c r="B19208" s="1" t="n">
        <v>45782</v>
      </c>
      <c r="C19208" s="1" t="n">
        <v>45792</v>
      </c>
      <c r="D19208" t="inlineStr">
        <is>
          <t>VÄSTERBOTTENS LÄN</t>
        </is>
      </c>
      <c r="E19208" t="inlineStr">
        <is>
          <t>DOROTEA</t>
        </is>
      </c>
      <c r="F19208" t="inlineStr">
        <is>
          <t>SCA</t>
        </is>
      </c>
      <c r="G19208" t="n">
        <v>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21509-2025</t>
        </is>
      </c>
      <c r="B19209" s="1" t="n">
        <v>45782</v>
      </c>
      <c r="C19209" s="1" t="n">
        <v>45792</v>
      </c>
      <c r="D19209" t="inlineStr">
        <is>
          <t>VÄSTERBOTTENS LÄN</t>
        </is>
      </c>
      <c r="E19209" t="inlineStr">
        <is>
          <t>LYCKSELE</t>
        </is>
      </c>
      <c r="F19209" t="inlineStr">
        <is>
          <t>Sveaskog</t>
        </is>
      </c>
      <c r="G19209" t="n">
        <v>13.3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21482-2025</t>
        </is>
      </c>
      <c r="B19210" s="1" t="n">
        <v>45782</v>
      </c>
      <c r="C19210" s="1" t="n">
        <v>45792</v>
      </c>
      <c r="D19210" t="inlineStr">
        <is>
          <t>VÄSTERBOTTENS LÄN</t>
        </is>
      </c>
      <c r="E19210" t="inlineStr">
        <is>
          <t>DOROTEA</t>
        </is>
      </c>
      <c r="F19210" t="inlineStr">
        <is>
          <t>SCA</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21316-2025</t>
        </is>
      </c>
      <c r="B19211" s="1" t="n">
        <v>45782</v>
      </c>
      <c r="C19211" s="1" t="n">
        <v>45792</v>
      </c>
      <c r="D19211" t="inlineStr">
        <is>
          <t>VÄSTERBOTTENS LÄN</t>
        </is>
      </c>
      <c r="E19211" t="inlineStr">
        <is>
          <t>SKELLEFTEÅ</t>
        </is>
      </c>
      <c r="F19211" t="inlineStr">
        <is>
          <t>Kommuner</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21670-2025</t>
        </is>
      </c>
      <c r="B19212" s="1" t="n">
        <v>45783</v>
      </c>
      <c r="C19212" s="1" t="n">
        <v>45792</v>
      </c>
      <c r="D19212" t="inlineStr">
        <is>
          <t>VÄSTERBOTTENS LÄN</t>
        </is>
      </c>
      <c r="E19212" t="inlineStr">
        <is>
          <t>VILHELMINA</t>
        </is>
      </c>
      <c r="F19212" t="inlineStr">
        <is>
          <t>SCA</t>
        </is>
      </c>
      <c r="G19212" t="n">
        <v>3.4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21755-2025</t>
        </is>
      </c>
      <c r="B19213" s="1" t="n">
        <v>45783</v>
      </c>
      <c r="C19213" s="1" t="n">
        <v>45792</v>
      </c>
      <c r="D19213" t="inlineStr">
        <is>
          <t>VÄSTERBOTTENS LÄN</t>
        </is>
      </c>
      <c r="E19213" t="inlineStr">
        <is>
          <t>SKELLEFTEÅ</t>
        </is>
      </c>
      <c r="G19213" t="n">
        <v>13.6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21619-2025</t>
        </is>
      </c>
      <c r="B19214" s="1" t="n">
        <v>45783</v>
      </c>
      <c r="C19214" s="1" t="n">
        <v>45792</v>
      </c>
      <c r="D19214" t="inlineStr">
        <is>
          <t>VÄSTERBOTTENS LÄN</t>
        </is>
      </c>
      <c r="E19214" t="inlineStr">
        <is>
          <t>SKELLEFTEÅ</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21585-2025</t>
        </is>
      </c>
      <c r="B19215" s="1" t="n">
        <v>45783</v>
      </c>
      <c r="C19215" s="1" t="n">
        <v>45792</v>
      </c>
      <c r="D19215" t="inlineStr">
        <is>
          <t>VÄSTERBOTTENS LÄN</t>
        </is>
      </c>
      <c r="E19215" t="inlineStr">
        <is>
          <t>SKELLEFTEÅ</t>
        </is>
      </c>
      <c r="G19215" t="n">
        <v>0.3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21620-2025</t>
        </is>
      </c>
      <c r="B19216" s="1" t="n">
        <v>45783</v>
      </c>
      <c r="C19216" s="1" t="n">
        <v>45792</v>
      </c>
      <c r="D19216" t="inlineStr">
        <is>
          <t>VÄSTERBOTTENS LÄN</t>
        </is>
      </c>
      <c r="E19216" t="inlineStr">
        <is>
          <t>SKELLEFTEÅ</t>
        </is>
      </c>
      <c r="G19216" t="n">
        <v>0.5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21587-2025</t>
        </is>
      </c>
      <c r="B19217" s="1" t="n">
        <v>45783</v>
      </c>
      <c r="C19217" s="1" t="n">
        <v>45792</v>
      </c>
      <c r="D19217" t="inlineStr">
        <is>
          <t>VÄSTERBOTTENS LÄN</t>
        </is>
      </c>
      <c r="E19217" t="inlineStr">
        <is>
          <t>SKELLEFTEÅ</t>
        </is>
      </c>
      <c r="G19217" t="n">
        <v>0.4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21701-2025</t>
        </is>
      </c>
      <c r="B19218" s="1" t="n">
        <v>45783</v>
      </c>
      <c r="C19218" s="1" t="n">
        <v>45792</v>
      </c>
      <c r="D19218" t="inlineStr">
        <is>
          <t>VÄSTERBOTTENS LÄN</t>
        </is>
      </c>
      <c r="E19218" t="inlineStr">
        <is>
          <t>DOROTEA</t>
        </is>
      </c>
      <c r="F19218" t="inlineStr">
        <is>
          <t>SCA</t>
        </is>
      </c>
      <c r="G19218" t="n">
        <v>10</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21662-2025</t>
        </is>
      </c>
      <c r="B19219" s="1" t="n">
        <v>45783</v>
      </c>
      <c r="C19219" s="1" t="n">
        <v>45792</v>
      </c>
      <c r="D19219" t="inlineStr">
        <is>
          <t>VÄSTERBOTTENS LÄN</t>
        </is>
      </c>
      <c r="E19219" t="inlineStr">
        <is>
          <t>STORUMAN</t>
        </is>
      </c>
      <c r="G19219" t="n">
        <v>47.2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21711-2025</t>
        </is>
      </c>
      <c r="B19220" s="1" t="n">
        <v>45783</v>
      </c>
      <c r="C19220" s="1" t="n">
        <v>45792</v>
      </c>
      <c r="D19220" t="inlineStr">
        <is>
          <t>VÄSTERBOTTENS LÄN</t>
        </is>
      </c>
      <c r="E19220" t="inlineStr">
        <is>
          <t>VÄNNÄS</t>
        </is>
      </c>
      <c r="F19220" t="inlineStr">
        <is>
          <t>Holmen skog AB</t>
        </is>
      </c>
      <c r="G19220" t="n">
        <v>3.7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21736-2025</t>
        </is>
      </c>
      <c r="B19221" s="1" t="n">
        <v>45783</v>
      </c>
      <c r="C19221" s="1" t="n">
        <v>45792</v>
      </c>
      <c r="D19221" t="inlineStr">
        <is>
          <t>VÄSTERBOTTENS LÄN</t>
        </is>
      </c>
      <c r="E19221" t="inlineStr">
        <is>
          <t>NORDMALING</t>
        </is>
      </c>
      <c r="G19221" t="n">
        <v>0.3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21717-2025</t>
        </is>
      </c>
      <c r="B19222" s="1" t="n">
        <v>45783</v>
      </c>
      <c r="C19222" s="1" t="n">
        <v>45792</v>
      </c>
      <c r="D19222" t="inlineStr">
        <is>
          <t>VÄSTERBOTTENS LÄN</t>
        </is>
      </c>
      <c r="E19222" t="inlineStr">
        <is>
          <t>SKELLEFTEÅ</t>
        </is>
      </c>
      <c r="G19222" t="n">
        <v>3.3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21732-2025</t>
        </is>
      </c>
      <c r="B19223" s="1" t="n">
        <v>45783</v>
      </c>
      <c r="C19223" s="1" t="n">
        <v>45792</v>
      </c>
      <c r="D19223" t="inlineStr">
        <is>
          <t>VÄSTERBOTTENS LÄN</t>
        </is>
      </c>
      <c r="E19223" t="inlineStr">
        <is>
          <t>ROBERTSFORS</t>
        </is>
      </c>
      <c r="G19223" t="n">
        <v>3.3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21757-2025</t>
        </is>
      </c>
      <c r="B19224" s="1" t="n">
        <v>45783</v>
      </c>
      <c r="C19224" s="1" t="n">
        <v>45792</v>
      </c>
      <c r="D19224" t="inlineStr">
        <is>
          <t>VÄSTERBOTTENS LÄN</t>
        </is>
      </c>
      <c r="E19224" t="inlineStr">
        <is>
          <t>SKELLEFTEÅ</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21795-2025</t>
        </is>
      </c>
      <c r="B19225" s="1" t="n">
        <v>45783</v>
      </c>
      <c r="C19225" s="1" t="n">
        <v>45792</v>
      </c>
      <c r="D19225" t="inlineStr">
        <is>
          <t>VÄSTERBOTTENS LÄN</t>
        </is>
      </c>
      <c r="E19225" t="inlineStr">
        <is>
          <t>UMEÅ</t>
        </is>
      </c>
      <c r="F19225" t="inlineStr">
        <is>
          <t>Kyrkan</t>
        </is>
      </c>
      <c r="G19225" t="n">
        <v>3.3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21800-2025</t>
        </is>
      </c>
      <c r="B19226" s="1" t="n">
        <v>45783</v>
      </c>
      <c r="C19226" s="1" t="n">
        <v>45792</v>
      </c>
      <c r="D19226" t="inlineStr">
        <is>
          <t>VÄSTERBOTTENS LÄN</t>
        </is>
      </c>
      <c r="E19226" t="inlineStr">
        <is>
          <t>UMEÅ</t>
        </is>
      </c>
      <c r="F19226" t="inlineStr">
        <is>
          <t>Kyrkan</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21595-2025</t>
        </is>
      </c>
      <c r="B19227" s="1" t="n">
        <v>45783</v>
      </c>
      <c r="C19227" s="1" t="n">
        <v>45792</v>
      </c>
      <c r="D19227" t="inlineStr">
        <is>
          <t>VÄSTERBOTTENS LÄN</t>
        </is>
      </c>
      <c r="E19227" t="inlineStr">
        <is>
          <t>SKELLEFTEÅ</t>
        </is>
      </c>
      <c r="F19227" t="inlineStr">
        <is>
          <t>SCA</t>
        </is>
      </c>
      <c r="G19227" t="n">
        <v>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21650-2025</t>
        </is>
      </c>
      <c r="B19228" s="1" t="n">
        <v>45783</v>
      </c>
      <c r="C19228" s="1" t="n">
        <v>45792</v>
      </c>
      <c r="D19228" t="inlineStr">
        <is>
          <t>VÄSTERBOTTENS LÄN</t>
        </is>
      </c>
      <c r="E19228" t="inlineStr">
        <is>
          <t>VINDELN</t>
        </is>
      </c>
      <c r="F19228" t="inlineStr">
        <is>
          <t>Holmen skog AB</t>
        </is>
      </c>
      <c r="G19228" t="n">
        <v>4.6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21700-2025</t>
        </is>
      </c>
      <c r="B19229" s="1" t="n">
        <v>45783</v>
      </c>
      <c r="C19229" s="1" t="n">
        <v>45792</v>
      </c>
      <c r="D19229" t="inlineStr">
        <is>
          <t>VÄSTERBOTTENS LÄN</t>
        </is>
      </c>
      <c r="E19229" t="inlineStr">
        <is>
          <t>VINDELN</t>
        </is>
      </c>
      <c r="F19229" t="inlineStr">
        <is>
          <t>SCA</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21750-2025</t>
        </is>
      </c>
      <c r="B19230" s="1" t="n">
        <v>45783</v>
      </c>
      <c r="C19230" s="1" t="n">
        <v>45792</v>
      </c>
      <c r="D19230" t="inlineStr">
        <is>
          <t>VÄSTERBOTTENS LÄN</t>
        </is>
      </c>
      <c r="E19230" t="inlineStr">
        <is>
          <t>SKELLEFTEÅ</t>
        </is>
      </c>
      <c r="F19230" t="inlineStr">
        <is>
          <t>Kyrkan</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21631-2025</t>
        </is>
      </c>
      <c r="B19231" s="1" t="n">
        <v>45783</v>
      </c>
      <c r="C19231" s="1" t="n">
        <v>45792</v>
      </c>
      <c r="D19231" t="inlineStr">
        <is>
          <t>VÄSTERBOTTENS LÄN</t>
        </is>
      </c>
      <c r="E19231" t="inlineStr">
        <is>
          <t>UMEÅ</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21733-2025</t>
        </is>
      </c>
      <c r="B19232" s="1" t="n">
        <v>45783</v>
      </c>
      <c r="C19232" s="1" t="n">
        <v>45792</v>
      </c>
      <c r="D19232" t="inlineStr">
        <is>
          <t>VÄSTERBOTTENS LÄN</t>
        </is>
      </c>
      <c r="E19232" t="inlineStr">
        <is>
          <t>NORDMALING</t>
        </is>
      </c>
      <c r="G19232" t="n">
        <v>2.5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21655-2025</t>
        </is>
      </c>
      <c r="B19233" s="1" t="n">
        <v>45783</v>
      </c>
      <c r="C19233" s="1" t="n">
        <v>45792</v>
      </c>
      <c r="D19233" t="inlineStr">
        <is>
          <t>VÄSTERBOTTENS LÄN</t>
        </is>
      </c>
      <c r="E19233" t="inlineStr">
        <is>
          <t>LYCKSELE</t>
        </is>
      </c>
      <c r="F19233" t="inlineStr">
        <is>
          <t>Holmen skog AB</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21727-2025</t>
        </is>
      </c>
      <c r="B19234" s="1" t="n">
        <v>45783</v>
      </c>
      <c r="C19234" s="1" t="n">
        <v>45792</v>
      </c>
      <c r="D19234" t="inlineStr">
        <is>
          <t>VÄSTERBOTTENS LÄN</t>
        </is>
      </c>
      <c r="E19234" t="inlineStr">
        <is>
          <t>LYCKSELE</t>
        </is>
      </c>
      <c r="F19234" t="inlineStr">
        <is>
          <t>SCA</t>
        </is>
      </c>
      <c r="G19234" t="n">
        <v>5.4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21794-2025</t>
        </is>
      </c>
      <c r="B19235" s="1" t="n">
        <v>45783</v>
      </c>
      <c r="C19235" s="1" t="n">
        <v>45792</v>
      </c>
      <c r="D19235" t="inlineStr">
        <is>
          <t>VÄSTERBOTTENS LÄN</t>
        </is>
      </c>
      <c r="E19235" t="inlineStr">
        <is>
          <t>UMEÅ</t>
        </is>
      </c>
      <c r="G19235" t="n">
        <v>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21615-2025</t>
        </is>
      </c>
      <c r="B19236" s="1" t="n">
        <v>45783</v>
      </c>
      <c r="C19236" s="1" t="n">
        <v>45792</v>
      </c>
      <c r="D19236" t="inlineStr">
        <is>
          <t>VÄSTERBOTTENS LÄN</t>
        </is>
      </c>
      <c r="E19236" t="inlineStr">
        <is>
          <t>VÄNNÄS</t>
        </is>
      </c>
      <c r="F19236" t="inlineStr">
        <is>
          <t>Holmen skog AB</t>
        </is>
      </c>
      <c r="G19236" t="n">
        <v>5.4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21763-2025</t>
        </is>
      </c>
      <c r="B19237" s="1" t="n">
        <v>45783</v>
      </c>
      <c r="C19237" s="1" t="n">
        <v>45792</v>
      </c>
      <c r="D19237" t="inlineStr">
        <is>
          <t>VÄSTERBOTTENS LÄN</t>
        </is>
      </c>
      <c r="E19237" t="inlineStr">
        <is>
          <t>SKELLEFTEÅ</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21623-2025</t>
        </is>
      </c>
      <c r="B19238" s="1" t="n">
        <v>45783</v>
      </c>
      <c r="C19238" s="1" t="n">
        <v>45792</v>
      </c>
      <c r="D19238" t="inlineStr">
        <is>
          <t>VÄSTERBOTTENS LÄN</t>
        </is>
      </c>
      <c r="E19238" t="inlineStr">
        <is>
          <t>VILHELMINA</t>
        </is>
      </c>
      <c r="F19238" t="inlineStr">
        <is>
          <t>SCA</t>
        </is>
      </c>
      <c r="G19238" t="n">
        <v>8.300000000000001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21608-2025</t>
        </is>
      </c>
      <c r="B19239" s="1" t="n">
        <v>45783</v>
      </c>
      <c r="C19239" s="1" t="n">
        <v>45792</v>
      </c>
      <c r="D19239" t="inlineStr">
        <is>
          <t>VÄSTERBOTTENS LÄN</t>
        </is>
      </c>
      <c r="E19239" t="inlineStr">
        <is>
          <t>UMEÅ</t>
        </is>
      </c>
      <c r="G19239" t="n">
        <v>4.4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21612-2025</t>
        </is>
      </c>
      <c r="B19240" s="1" t="n">
        <v>45783</v>
      </c>
      <c r="C19240" s="1" t="n">
        <v>45792</v>
      </c>
      <c r="D19240" t="inlineStr">
        <is>
          <t>VÄSTERBOTTENS LÄN</t>
        </is>
      </c>
      <c r="E19240" t="inlineStr">
        <is>
          <t>UMEÅ</t>
        </is>
      </c>
      <c r="G19240" t="n">
        <v>8.199999999999999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21610-2025</t>
        </is>
      </c>
      <c r="B19241" s="1" t="n">
        <v>45783</v>
      </c>
      <c r="C19241" s="1" t="n">
        <v>45792</v>
      </c>
      <c r="D19241" t="inlineStr">
        <is>
          <t>VÄSTERBOTTENS LÄN</t>
        </is>
      </c>
      <c r="E19241" t="inlineStr">
        <is>
          <t>UMEÅ</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21590-2025</t>
        </is>
      </c>
      <c r="B19242" s="1" t="n">
        <v>45783</v>
      </c>
      <c r="C19242" s="1" t="n">
        <v>45792</v>
      </c>
      <c r="D19242" t="inlineStr">
        <is>
          <t>VÄSTERBOTTENS LÄN</t>
        </is>
      </c>
      <c r="E19242" t="inlineStr">
        <is>
          <t>SKELLEFTEÅ</t>
        </is>
      </c>
      <c r="F19242" t="inlineStr">
        <is>
          <t>Kommuner</t>
        </is>
      </c>
      <c r="G19242" t="n">
        <v>7.2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21714-2025</t>
        </is>
      </c>
      <c r="B19243" s="1" t="n">
        <v>45783</v>
      </c>
      <c r="C19243" s="1" t="n">
        <v>45792</v>
      </c>
      <c r="D19243" t="inlineStr">
        <is>
          <t>VÄSTERBOTTENS LÄN</t>
        </is>
      </c>
      <c r="E19243" t="inlineStr">
        <is>
          <t>NORDMALING</t>
        </is>
      </c>
      <c r="G19243" t="n">
        <v>10.3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21743-2025</t>
        </is>
      </c>
      <c r="B19244" s="1" t="n">
        <v>45783</v>
      </c>
      <c r="C19244" s="1" t="n">
        <v>45792</v>
      </c>
      <c r="D19244" t="inlineStr">
        <is>
          <t>VÄSTERBOTTENS LÄN</t>
        </is>
      </c>
      <c r="E19244" t="inlineStr">
        <is>
          <t>SORSELE</t>
        </is>
      </c>
      <c r="G19244" t="n">
        <v>5.2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21622-2025</t>
        </is>
      </c>
      <c r="B19245" s="1" t="n">
        <v>45783</v>
      </c>
      <c r="C19245" s="1" t="n">
        <v>45792</v>
      </c>
      <c r="D19245" t="inlineStr">
        <is>
          <t>VÄSTERBOTTENS LÄN</t>
        </is>
      </c>
      <c r="E19245" t="inlineStr">
        <is>
          <t>DOROTEA</t>
        </is>
      </c>
      <c r="F19245" t="inlineStr">
        <is>
          <t>SCA</t>
        </is>
      </c>
      <c r="G19245" t="n">
        <v>11.8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21999-2025</t>
        </is>
      </c>
      <c r="B19246" s="1" t="n">
        <v>45784</v>
      </c>
      <c r="C19246" s="1" t="n">
        <v>45792</v>
      </c>
      <c r="D19246" t="inlineStr">
        <is>
          <t>VÄSTERBOTTENS LÄN</t>
        </is>
      </c>
      <c r="E19246" t="inlineStr">
        <is>
          <t>VILHELMINA</t>
        </is>
      </c>
      <c r="F19246" t="inlineStr">
        <is>
          <t>SCA</t>
        </is>
      </c>
      <c r="G19246" t="n">
        <v>2.6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21965-2025</t>
        </is>
      </c>
      <c r="B19247" s="1" t="n">
        <v>45784</v>
      </c>
      <c r="C19247" s="1" t="n">
        <v>45792</v>
      </c>
      <c r="D19247" t="inlineStr">
        <is>
          <t>VÄSTERBOTTENS LÄN</t>
        </is>
      </c>
      <c r="E19247" t="inlineStr">
        <is>
          <t>VILHELMINA</t>
        </is>
      </c>
      <c r="G19247" t="n">
        <v>7.4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21972-2025</t>
        </is>
      </c>
      <c r="B19248" s="1" t="n">
        <v>45784</v>
      </c>
      <c r="C19248" s="1" t="n">
        <v>45792</v>
      </c>
      <c r="D19248" t="inlineStr">
        <is>
          <t>VÄSTERBOTTENS LÄN</t>
        </is>
      </c>
      <c r="E19248" t="inlineStr">
        <is>
          <t>VILHELMINA</t>
        </is>
      </c>
      <c r="F19248" t="inlineStr">
        <is>
          <t>SCA</t>
        </is>
      </c>
      <c r="G19248" t="n">
        <v>2.4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21887-2025</t>
        </is>
      </c>
      <c r="B19249" s="1" t="n">
        <v>45784</v>
      </c>
      <c r="C19249" s="1" t="n">
        <v>45792</v>
      </c>
      <c r="D19249" t="inlineStr">
        <is>
          <t>VÄSTERBOTTENS LÄN</t>
        </is>
      </c>
      <c r="E19249" t="inlineStr">
        <is>
          <t>BJURHOLM</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21855-2025</t>
        </is>
      </c>
      <c r="B19250" s="1" t="n">
        <v>45784</v>
      </c>
      <c r="C19250" s="1" t="n">
        <v>45792</v>
      </c>
      <c r="D19250" t="inlineStr">
        <is>
          <t>VÄSTERBOTTENS LÄN</t>
        </is>
      </c>
      <c r="E19250" t="inlineStr">
        <is>
          <t>ÅSELE</t>
        </is>
      </c>
      <c r="G19250" t="n">
        <v>4.4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21960-2025</t>
        </is>
      </c>
      <c r="B19251" s="1" t="n">
        <v>45784</v>
      </c>
      <c r="C19251" s="1" t="n">
        <v>45792</v>
      </c>
      <c r="D19251" t="inlineStr">
        <is>
          <t>VÄSTERBOTTENS LÄN</t>
        </is>
      </c>
      <c r="E19251" t="inlineStr">
        <is>
          <t>DOROTEA</t>
        </is>
      </c>
      <c r="F19251" t="inlineStr">
        <is>
          <t>SCA</t>
        </is>
      </c>
      <c r="G19251" t="n">
        <v>26.9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21924-2025</t>
        </is>
      </c>
      <c r="B19252" s="1" t="n">
        <v>45784</v>
      </c>
      <c r="C19252" s="1" t="n">
        <v>45792</v>
      </c>
      <c r="D19252" t="inlineStr">
        <is>
          <t>VÄSTERBOTTENS LÄN</t>
        </is>
      </c>
      <c r="E19252" t="inlineStr">
        <is>
          <t>VILHELMINA</t>
        </is>
      </c>
      <c r="G19252" t="n">
        <v>10.2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21861-2025</t>
        </is>
      </c>
      <c r="B19253" s="1" t="n">
        <v>45784</v>
      </c>
      <c r="C19253" s="1" t="n">
        <v>45792</v>
      </c>
      <c r="D19253" t="inlineStr">
        <is>
          <t>VÄSTERBOTTENS LÄN</t>
        </is>
      </c>
      <c r="E19253" t="inlineStr">
        <is>
          <t>LYCKSELE</t>
        </is>
      </c>
      <c r="F19253" t="inlineStr">
        <is>
          <t>SCA</t>
        </is>
      </c>
      <c r="G19253" t="n">
        <v>10.5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21910-2025</t>
        </is>
      </c>
      <c r="B19254" s="1" t="n">
        <v>45784</v>
      </c>
      <c r="C19254" s="1" t="n">
        <v>45792</v>
      </c>
      <c r="D19254" t="inlineStr">
        <is>
          <t>VÄSTERBOTTENS LÄN</t>
        </is>
      </c>
      <c r="E19254" t="inlineStr">
        <is>
          <t>SKELLEFTEÅ</t>
        </is>
      </c>
      <c r="F19254" t="inlineStr">
        <is>
          <t>Holmen skog AB</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21906-2025</t>
        </is>
      </c>
      <c r="B19255" s="1" t="n">
        <v>45784</v>
      </c>
      <c r="C19255" s="1" t="n">
        <v>45792</v>
      </c>
      <c r="D19255" t="inlineStr">
        <is>
          <t>VÄSTERBOTTENS LÄN</t>
        </is>
      </c>
      <c r="E19255" t="inlineStr">
        <is>
          <t>NORSJÖ</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21950-2025</t>
        </is>
      </c>
      <c r="B19256" s="1" t="n">
        <v>45784</v>
      </c>
      <c r="C19256" s="1" t="n">
        <v>45792</v>
      </c>
      <c r="D19256" t="inlineStr">
        <is>
          <t>VÄSTERBOTTENS LÄN</t>
        </is>
      </c>
      <c r="E19256" t="inlineStr">
        <is>
          <t>VILHELMINA</t>
        </is>
      </c>
      <c r="F19256" t="inlineStr">
        <is>
          <t>SCA</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22032-2025</t>
        </is>
      </c>
      <c r="B19257" s="1" t="n">
        <v>45784</v>
      </c>
      <c r="C19257" s="1" t="n">
        <v>45792</v>
      </c>
      <c r="D19257" t="inlineStr">
        <is>
          <t>VÄSTERBOTTENS LÄN</t>
        </is>
      </c>
      <c r="E19257" t="inlineStr">
        <is>
          <t>ROBERTSFORS</t>
        </is>
      </c>
      <c r="G19257" t="n">
        <v>3.9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21992-2025</t>
        </is>
      </c>
      <c r="B19258" s="1" t="n">
        <v>45784</v>
      </c>
      <c r="C19258" s="1" t="n">
        <v>45792</v>
      </c>
      <c r="D19258" t="inlineStr">
        <is>
          <t>VÄSTERBOTTENS LÄN</t>
        </is>
      </c>
      <c r="E19258" t="inlineStr">
        <is>
          <t>SKELLEFTEÅ</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21888-2025</t>
        </is>
      </c>
      <c r="B19259" s="1" t="n">
        <v>45784</v>
      </c>
      <c r="C19259" s="1" t="n">
        <v>45792</v>
      </c>
      <c r="D19259" t="inlineStr">
        <is>
          <t>VÄSTERBOTTENS LÄN</t>
        </is>
      </c>
      <c r="E19259" t="inlineStr">
        <is>
          <t>LYCKSELE</t>
        </is>
      </c>
      <c r="F19259" t="inlineStr">
        <is>
          <t>Holmen skog AB</t>
        </is>
      </c>
      <c r="G19259" t="n">
        <v>4.4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22004-2025</t>
        </is>
      </c>
      <c r="B19260" s="1" t="n">
        <v>45784</v>
      </c>
      <c r="C19260" s="1" t="n">
        <v>45792</v>
      </c>
      <c r="D19260" t="inlineStr">
        <is>
          <t>VÄSTERBOTTENS LÄN</t>
        </is>
      </c>
      <c r="E19260" t="inlineStr">
        <is>
          <t>UMEÅ</t>
        </is>
      </c>
      <c r="G19260" t="n">
        <v>2.5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22007-2025</t>
        </is>
      </c>
      <c r="B19261" s="1" t="n">
        <v>45784</v>
      </c>
      <c r="C19261" s="1" t="n">
        <v>45792</v>
      </c>
      <c r="D19261" t="inlineStr">
        <is>
          <t>VÄSTERBOTTENS LÄN</t>
        </is>
      </c>
      <c r="E19261" t="inlineStr">
        <is>
          <t>UMEÅ</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22145-2025</t>
        </is>
      </c>
      <c r="B19262" s="1" t="n">
        <v>45785</v>
      </c>
      <c r="C19262" s="1" t="n">
        <v>45792</v>
      </c>
      <c r="D19262" t="inlineStr">
        <is>
          <t>VÄSTERBOTTENS LÄN</t>
        </is>
      </c>
      <c r="E19262" t="inlineStr">
        <is>
          <t>UMEÅ</t>
        </is>
      </c>
      <c r="G19262" t="n">
        <v>0.3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22095-2025</t>
        </is>
      </c>
      <c r="B19263" s="1" t="n">
        <v>45785</v>
      </c>
      <c r="C19263" s="1" t="n">
        <v>45792</v>
      </c>
      <c r="D19263" t="inlineStr">
        <is>
          <t>VÄSTERBOTTENS LÄN</t>
        </is>
      </c>
      <c r="E19263" t="inlineStr">
        <is>
          <t>BJURHOLM</t>
        </is>
      </c>
      <c r="G19263" t="n">
        <v>3.6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22107-2025</t>
        </is>
      </c>
      <c r="B19264" s="1" t="n">
        <v>45785</v>
      </c>
      <c r="C19264" s="1" t="n">
        <v>45792</v>
      </c>
      <c r="D19264" t="inlineStr">
        <is>
          <t>VÄSTERBOTTENS LÄN</t>
        </is>
      </c>
      <c r="E19264" t="inlineStr">
        <is>
          <t>LYCKSELE</t>
        </is>
      </c>
      <c r="F19264" t="inlineStr">
        <is>
          <t>SCA</t>
        </is>
      </c>
      <c r="G19264" t="n">
        <v>8.4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22127-2025</t>
        </is>
      </c>
      <c r="B19265" s="1" t="n">
        <v>45785</v>
      </c>
      <c r="C19265" s="1" t="n">
        <v>45792</v>
      </c>
      <c r="D19265" t="inlineStr">
        <is>
          <t>VÄSTERBOTTENS LÄN</t>
        </is>
      </c>
      <c r="E19265" t="inlineStr">
        <is>
          <t>LYCKSELE</t>
        </is>
      </c>
      <c r="F19265" t="inlineStr">
        <is>
          <t>Sveaskog</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22092-2025</t>
        </is>
      </c>
      <c r="B19266" s="1" t="n">
        <v>45785</v>
      </c>
      <c r="C19266" s="1" t="n">
        <v>45792</v>
      </c>
      <c r="D19266" t="inlineStr">
        <is>
          <t>VÄSTERBOTTENS LÄN</t>
        </is>
      </c>
      <c r="E19266" t="inlineStr">
        <is>
          <t>ROBERTSFORS</t>
        </is>
      </c>
      <c r="G19266" t="n">
        <v>3.9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22161-2025</t>
        </is>
      </c>
      <c r="B19267" s="1" t="n">
        <v>45785</v>
      </c>
      <c r="C19267" s="1" t="n">
        <v>45792</v>
      </c>
      <c r="D19267" t="inlineStr">
        <is>
          <t>VÄSTERBOTTENS LÄN</t>
        </is>
      </c>
      <c r="E19267" t="inlineStr">
        <is>
          <t>UMEÅ</t>
        </is>
      </c>
      <c r="G19267" t="n">
        <v>0.8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22031-2025</t>
        </is>
      </c>
      <c r="B19268" s="1" t="n">
        <v>45785</v>
      </c>
      <c r="C19268" s="1" t="n">
        <v>45792</v>
      </c>
      <c r="D19268" t="inlineStr">
        <is>
          <t>VÄSTERBOTTENS LÄN</t>
        </is>
      </c>
      <c r="E19268" t="inlineStr">
        <is>
          <t>SKELLEFTEÅ</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22096-2025</t>
        </is>
      </c>
      <c r="B19269" s="1" t="n">
        <v>45785</v>
      </c>
      <c r="C19269" s="1" t="n">
        <v>45792</v>
      </c>
      <c r="D19269" t="inlineStr">
        <is>
          <t>VÄSTERBOTTENS LÄN</t>
        </is>
      </c>
      <c r="E19269" t="inlineStr">
        <is>
          <t>BJURHOLM</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22213-2025</t>
        </is>
      </c>
      <c r="B19270" s="1" t="n">
        <v>45785</v>
      </c>
      <c r="C19270" s="1" t="n">
        <v>45792</v>
      </c>
      <c r="D19270" t="inlineStr">
        <is>
          <t>VÄSTERBOTTENS LÄN</t>
        </is>
      </c>
      <c r="E19270" t="inlineStr">
        <is>
          <t>DOROTEA</t>
        </is>
      </c>
      <c r="F19270" t="inlineStr">
        <is>
          <t>SCA</t>
        </is>
      </c>
      <c r="G19270" t="n">
        <v>1.8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22065-2025</t>
        </is>
      </c>
      <c r="B19271" s="1" t="n">
        <v>45785</v>
      </c>
      <c r="C19271" s="1" t="n">
        <v>45792</v>
      </c>
      <c r="D19271" t="inlineStr">
        <is>
          <t>VÄSTERBOTTENS LÄN</t>
        </is>
      </c>
      <c r="E19271" t="inlineStr">
        <is>
          <t>SKELLEFTEÅ</t>
        </is>
      </c>
      <c r="G19271" t="n">
        <v>3.8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22048-2025</t>
        </is>
      </c>
      <c r="B19272" s="1" t="n">
        <v>45785</v>
      </c>
      <c r="C19272" s="1" t="n">
        <v>45792</v>
      </c>
      <c r="D19272" t="inlineStr">
        <is>
          <t>VÄSTERBOTTENS LÄN</t>
        </is>
      </c>
      <c r="E19272" t="inlineStr">
        <is>
          <t>VILHELMINA</t>
        </is>
      </c>
      <c r="F19272" t="inlineStr">
        <is>
          <t>SCA</t>
        </is>
      </c>
      <c r="G19272" t="n">
        <v>3.2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22067-2025</t>
        </is>
      </c>
      <c r="B19273" s="1" t="n">
        <v>45785</v>
      </c>
      <c r="C19273" s="1" t="n">
        <v>45792</v>
      </c>
      <c r="D19273" t="inlineStr">
        <is>
          <t>VÄSTERBOTTENS LÄN</t>
        </is>
      </c>
      <c r="E19273" t="inlineStr">
        <is>
          <t>SKELLEFTEÅ</t>
        </is>
      </c>
      <c r="G19273" t="n">
        <v>9.199999999999999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22116-2025</t>
        </is>
      </c>
      <c r="B19274" s="1" t="n">
        <v>45785</v>
      </c>
      <c r="C19274" s="1" t="n">
        <v>45792</v>
      </c>
      <c r="D19274" t="inlineStr">
        <is>
          <t>VÄSTERBOTTENS LÄN</t>
        </is>
      </c>
      <c r="E19274" t="inlineStr">
        <is>
          <t>DOROTEA</t>
        </is>
      </c>
      <c r="F19274" t="inlineStr">
        <is>
          <t>SCA</t>
        </is>
      </c>
      <c r="G19274" t="n">
        <v>10.1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22272-2025</t>
        </is>
      </c>
      <c r="B19275" s="1" t="n">
        <v>45786</v>
      </c>
      <c r="C19275" s="1" t="n">
        <v>45792</v>
      </c>
      <c r="D19275" t="inlineStr">
        <is>
          <t>VÄSTERBOTTENS LÄN</t>
        </is>
      </c>
      <c r="E19275" t="inlineStr">
        <is>
          <t>VINDELN</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22123-2025</t>
        </is>
      </c>
      <c r="B19276" s="1" t="n">
        <v>45785</v>
      </c>
      <c r="C19276" s="1" t="n">
        <v>45792</v>
      </c>
      <c r="D19276" t="inlineStr">
        <is>
          <t>VÄSTERBOTTENS LÄN</t>
        </is>
      </c>
      <c r="E19276" t="inlineStr">
        <is>
          <t>LYCKSELE</t>
        </is>
      </c>
      <c r="F19276" t="inlineStr">
        <is>
          <t>Sveaskog</t>
        </is>
      </c>
      <c r="G19276" t="n">
        <v>11.2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22144-2025</t>
        </is>
      </c>
      <c r="B19277" s="1" t="n">
        <v>45785</v>
      </c>
      <c r="C19277" s="1" t="n">
        <v>45792</v>
      </c>
      <c r="D19277" t="inlineStr">
        <is>
          <t>VÄSTERBOTTENS LÄN</t>
        </is>
      </c>
      <c r="E19277" t="inlineStr">
        <is>
          <t>ÅSELE</t>
        </is>
      </c>
      <c r="G19277" t="n">
        <v>8.4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22265-2025</t>
        </is>
      </c>
      <c r="B19278" s="1" t="n">
        <v>45785</v>
      </c>
      <c r="C19278" s="1" t="n">
        <v>45792</v>
      </c>
      <c r="D19278" t="inlineStr">
        <is>
          <t>VÄSTERBOTTENS LÄN</t>
        </is>
      </c>
      <c r="E19278" t="inlineStr">
        <is>
          <t>BJURHOLM</t>
        </is>
      </c>
      <c r="F19278" t="inlineStr">
        <is>
          <t>SCA</t>
        </is>
      </c>
      <c r="G19278" t="n">
        <v>2.8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22159-2025</t>
        </is>
      </c>
      <c r="B19279" s="1" t="n">
        <v>45785</v>
      </c>
      <c r="C19279" s="1" t="n">
        <v>45792</v>
      </c>
      <c r="D19279" t="inlineStr">
        <is>
          <t>VÄSTERBOTTENS LÄN</t>
        </is>
      </c>
      <c r="E19279" t="inlineStr">
        <is>
          <t>UMEÅ</t>
        </is>
      </c>
      <c r="G19279" t="n">
        <v>1.8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22111-2025</t>
        </is>
      </c>
      <c r="B19280" s="1" t="n">
        <v>45785</v>
      </c>
      <c r="C19280" s="1" t="n">
        <v>45792</v>
      </c>
      <c r="D19280" t="inlineStr">
        <is>
          <t>VÄSTERBOTTENS LÄN</t>
        </is>
      </c>
      <c r="E19280" t="inlineStr">
        <is>
          <t>ROBERTSFORS</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22146-2025</t>
        </is>
      </c>
      <c r="B19281" s="1" t="n">
        <v>45785</v>
      </c>
      <c r="C19281" s="1" t="n">
        <v>45792</v>
      </c>
      <c r="D19281" t="inlineStr">
        <is>
          <t>VÄSTERBOTTENS LÄN</t>
        </is>
      </c>
      <c r="E19281" t="inlineStr">
        <is>
          <t>UMEÅ</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22154-2025</t>
        </is>
      </c>
      <c r="B19282" s="1" t="n">
        <v>45785</v>
      </c>
      <c r="C19282" s="1" t="n">
        <v>45792</v>
      </c>
      <c r="D19282" t="inlineStr">
        <is>
          <t>VÄSTERBOTTENS LÄN</t>
        </is>
      </c>
      <c r="E19282" t="inlineStr">
        <is>
          <t>ROBERTSFORS</t>
        </is>
      </c>
      <c r="G19282" t="n">
        <v>2.7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22229-2025</t>
        </is>
      </c>
      <c r="B19283" s="1" t="n">
        <v>45785</v>
      </c>
      <c r="C19283" s="1" t="n">
        <v>45792</v>
      </c>
      <c r="D19283" t="inlineStr">
        <is>
          <t>VÄSTERBOTTENS LÄN</t>
        </is>
      </c>
      <c r="E19283" t="inlineStr">
        <is>
          <t>LYCKSELE</t>
        </is>
      </c>
      <c r="F19283" t="inlineStr">
        <is>
          <t>Holmen skog AB</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22266-2025</t>
        </is>
      </c>
      <c r="B19284" s="1" t="n">
        <v>45785</v>
      </c>
      <c r="C19284" s="1" t="n">
        <v>45792</v>
      </c>
      <c r="D19284" t="inlineStr">
        <is>
          <t>VÄSTERBOTTENS LÄN</t>
        </is>
      </c>
      <c r="E19284" t="inlineStr">
        <is>
          <t>BJURHOLM</t>
        </is>
      </c>
      <c r="F19284" t="inlineStr">
        <is>
          <t>SCA</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22530-2025</t>
        </is>
      </c>
      <c r="B19285" s="1" t="n">
        <v>45786</v>
      </c>
      <c r="C19285" s="1" t="n">
        <v>45792</v>
      </c>
      <c r="D19285" t="inlineStr">
        <is>
          <t>VÄSTERBOTTENS LÄN</t>
        </is>
      </c>
      <c r="E19285" t="inlineStr">
        <is>
          <t>SKELLEFTEÅ</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22408-2025</t>
        </is>
      </c>
      <c r="B19286" s="1" t="n">
        <v>45786</v>
      </c>
      <c r="C19286" s="1" t="n">
        <v>45792</v>
      </c>
      <c r="D19286" t="inlineStr">
        <is>
          <t>VÄSTERBOTTENS LÄN</t>
        </is>
      </c>
      <c r="E19286" t="inlineStr">
        <is>
          <t>LYCKSELE</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22531-2025</t>
        </is>
      </c>
      <c r="B19287" s="1" t="n">
        <v>45786</v>
      </c>
      <c r="C19287" s="1" t="n">
        <v>45792</v>
      </c>
      <c r="D19287" t="inlineStr">
        <is>
          <t>VÄSTERBOTTENS LÄN</t>
        </is>
      </c>
      <c r="E19287" t="inlineStr">
        <is>
          <t>SKELLEFTEÅ</t>
        </is>
      </c>
      <c r="G19287" t="n">
        <v>7.3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22311-2025</t>
        </is>
      </c>
      <c r="B19288" s="1" t="n">
        <v>45786</v>
      </c>
      <c r="C19288" s="1" t="n">
        <v>45792</v>
      </c>
      <c r="D19288" t="inlineStr">
        <is>
          <t>VÄSTERBOTTENS LÄN</t>
        </is>
      </c>
      <c r="E19288" t="inlineStr">
        <is>
          <t>SKELLEFTEÅ</t>
        </is>
      </c>
      <c r="G19288" t="n">
        <v>2.5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22423-2025</t>
        </is>
      </c>
      <c r="B19289" s="1" t="n">
        <v>45786</v>
      </c>
      <c r="C19289" s="1" t="n">
        <v>45792</v>
      </c>
      <c r="D19289" t="inlineStr">
        <is>
          <t>VÄSTERBOTTENS LÄN</t>
        </is>
      </c>
      <c r="E19289" t="inlineStr">
        <is>
          <t>LYCKSELE</t>
        </is>
      </c>
      <c r="G19289" t="n">
        <v>3.2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22436-2025</t>
        </is>
      </c>
      <c r="B19290" s="1" t="n">
        <v>45786</v>
      </c>
      <c r="C19290" s="1" t="n">
        <v>45792</v>
      </c>
      <c r="D19290" t="inlineStr">
        <is>
          <t>VÄSTERBOTTENS LÄN</t>
        </is>
      </c>
      <c r="E19290" t="inlineStr">
        <is>
          <t>VINDELN</t>
        </is>
      </c>
      <c r="F19290" t="inlineStr">
        <is>
          <t>Holmen skog AB</t>
        </is>
      </c>
      <c r="G19290" t="n">
        <v>3.4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22440-2025</t>
        </is>
      </c>
      <c r="B19291" s="1" t="n">
        <v>45786</v>
      </c>
      <c r="C19291" s="1" t="n">
        <v>45792</v>
      </c>
      <c r="D19291" t="inlineStr">
        <is>
          <t>VÄSTERBOTTENS LÄN</t>
        </is>
      </c>
      <c r="E19291" t="inlineStr">
        <is>
          <t>VILHELMINA</t>
        </is>
      </c>
      <c r="G19291" t="n">
        <v>9.199999999999999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22451-2025</t>
        </is>
      </c>
      <c r="B19292" s="1" t="n">
        <v>45786</v>
      </c>
      <c r="C19292" s="1" t="n">
        <v>45792</v>
      </c>
      <c r="D19292" t="inlineStr">
        <is>
          <t>VÄSTERBOTTENS LÄN</t>
        </is>
      </c>
      <c r="E19292" t="inlineStr">
        <is>
          <t>VINDELN</t>
        </is>
      </c>
      <c r="F19292" t="inlineStr">
        <is>
          <t>Holmen skog AB</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22410-2025</t>
        </is>
      </c>
      <c r="B19293" s="1" t="n">
        <v>45786</v>
      </c>
      <c r="C19293" s="1" t="n">
        <v>45792</v>
      </c>
      <c r="D19293" t="inlineStr">
        <is>
          <t>VÄSTERBOTTENS LÄN</t>
        </is>
      </c>
      <c r="E19293" t="inlineStr">
        <is>
          <t>VINDELN</t>
        </is>
      </c>
      <c r="F19293" t="inlineStr">
        <is>
          <t>Holmen skog AB</t>
        </is>
      </c>
      <c r="G19293" t="n">
        <v>16.3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22457-2025</t>
        </is>
      </c>
      <c r="B19294" s="1" t="n">
        <v>45786</v>
      </c>
      <c r="C19294" s="1" t="n">
        <v>45792</v>
      </c>
      <c r="D19294" t="inlineStr">
        <is>
          <t>VÄSTERBOTTENS LÄN</t>
        </is>
      </c>
      <c r="E19294" t="inlineStr">
        <is>
          <t>VILHELMINA</t>
        </is>
      </c>
      <c r="G19294" t="n">
        <v>10.8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22360-2025</t>
        </is>
      </c>
      <c r="B19295" s="1" t="n">
        <v>45786</v>
      </c>
      <c r="C19295" s="1" t="n">
        <v>45792</v>
      </c>
      <c r="D19295" t="inlineStr">
        <is>
          <t>VÄSTERBOTTENS LÄN</t>
        </is>
      </c>
      <c r="E19295" t="inlineStr">
        <is>
          <t>LYCKSELE</t>
        </is>
      </c>
      <c r="F19295" t="inlineStr">
        <is>
          <t>Sveaskog</t>
        </is>
      </c>
      <c r="G19295" t="n">
        <v>2.2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22456-2025</t>
        </is>
      </c>
      <c r="B19296" s="1" t="n">
        <v>45786</v>
      </c>
      <c r="C19296" s="1" t="n">
        <v>45792</v>
      </c>
      <c r="D19296" t="inlineStr">
        <is>
          <t>VÄSTERBOTTENS LÄN</t>
        </is>
      </c>
      <c r="E19296" t="inlineStr">
        <is>
          <t>LYCKSELE</t>
        </is>
      </c>
      <c r="F19296" t="inlineStr">
        <is>
          <t>Sveaskog</t>
        </is>
      </c>
      <c r="G19296" t="n">
        <v>4.2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22363-2025</t>
        </is>
      </c>
      <c r="B19297" s="1" t="n">
        <v>45786</v>
      </c>
      <c r="C19297" s="1" t="n">
        <v>45792</v>
      </c>
      <c r="D19297" t="inlineStr">
        <is>
          <t>VÄSTERBOTTENS LÄN</t>
        </is>
      </c>
      <c r="E19297" t="inlineStr">
        <is>
          <t>LYCKSELE</t>
        </is>
      </c>
      <c r="F19297" t="inlineStr">
        <is>
          <t>Sveaskog</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22486-2025</t>
        </is>
      </c>
      <c r="B19298" s="1" t="n">
        <v>45786</v>
      </c>
      <c r="C19298" s="1" t="n">
        <v>45792</v>
      </c>
      <c r="D19298" t="inlineStr">
        <is>
          <t>VÄSTERBOTTENS LÄN</t>
        </is>
      </c>
      <c r="E19298" t="inlineStr">
        <is>
          <t>ÅSELE</t>
        </is>
      </c>
      <c r="F19298" t="inlineStr">
        <is>
          <t>Holmen skog AB</t>
        </is>
      </c>
      <c r="G19298" t="n">
        <v>8.199999999999999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22496-2025</t>
        </is>
      </c>
      <c r="B19299" s="1" t="n">
        <v>45786</v>
      </c>
      <c r="C19299" s="1" t="n">
        <v>45792</v>
      </c>
      <c r="D19299" t="inlineStr">
        <is>
          <t>VÄSTERBOTTENS LÄN</t>
        </is>
      </c>
      <c r="E19299" t="inlineStr">
        <is>
          <t>VILHELMINA</t>
        </is>
      </c>
      <c r="F19299" t="inlineStr">
        <is>
          <t>SCA</t>
        </is>
      </c>
      <c r="G19299" t="n">
        <v>16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22477-2025</t>
        </is>
      </c>
      <c r="B19300" s="1" t="n">
        <v>45786</v>
      </c>
      <c r="C19300" s="1" t="n">
        <v>45792</v>
      </c>
      <c r="D19300" t="inlineStr">
        <is>
          <t>VÄSTERBOTTENS LÄN</t>
        </is>
      </c>
      <c r="E19300" t="inlineStr">
        <is>
          <t>UMEÅ</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22284-2025</t>
        </is>
      </c>
      <c r="B19301" s="1" t="n">
        <v>45786</v>
      </c>
      <c r="C19301" s="1" t="n">
        <v>45792</v>
      </c>
      <c r="D19301" t="inlineStr">
        <is>
          <t>VÄSTERBOTTENS LÄN</t>
        </is>
      </c>
      <c r="E19301" t="inlineStr">
        <is>
          <t>SKELLEFTEÅ</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22371-2025</t>
        </is>
      </c>
      <c r="B19302" s="1" t="n">
        <v>45786</v>
      </c>
      <c r="C19302" s="1" t="n">
        <v>45792</v>
      </c>
      <c r="D19302" t="inlineStr">
        <is>
          <t>VÄSTERBOTTENS LÄN</t>
        </is>
      </c>
      <c r="E19302" t="inlineStr">
        <is>
          <t>VINDELN</t>
        </is>
      </c>
      <c r="F19302" t="inlineStr">
        <is>
          <t>Holmen skog AB</t>
        </is>
      </c>
      <c r="G19302" t="n">
        <v>8.300000000000001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22290-2025</t>
        </is>
      </c>
      <c r="B19303" s="1" t="n">
        <v>45786</v>
      </c>
      <c r="C19303" s="1" t="n">
        <v>45792</v>
      </c>
      <c r="D19303" t="inlineStr">
        <is>
          <t>VÄSTERBOTTENS LÄN</t>
        </is>
      </c>
      <c r="E19303" t="inlineStr">
        <is>
          <t>BJURHOLM</t>
        </is>
      </c>
      <c r="F19303" t="inlineStr">
        <is>
          <t>SCA</t>
        </is>
      </c>
      <c r="G19303" t="n">
        <v>3.4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22415-2025</t>
        </is>
      </c>
      <c r="B19304" s="1" t="n">
        <v>45786</v>
      </c>
      <c r="C19304" s="1" t="n">
        <v>45792</v>
      </c>
      <c r="D19304" t="inlineStr">
        <is>
          <t>VÄSTERBOTTENS LÄN</t>
        </is>
      </c>
      <c r="E19304" t="inlineStr">
        <is>
          <t>SKELLEFTEÅ</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22378-2025</t>
        </is>
      </c>
      <c r="B19305" s="1" t="n">
        <v>45786</v>
      </c>
      <c r="C19305" s="1" t="n">
        <v>45792</v>
      </c>
      <c r="D19305" t="inlineStr">
        <is>
          <t>VÄSTERBOTTENS LÄN</t>
        </is>
      </c>
      <c r="E19305" t="inlineStr">
        <is>
          <t>LYCKSELE</t>
        </is>
      </c>
      <c r="F19305" t="inlineStr">
        <is>
          <t>SCA</t>
        </is>
      </c>
      <c r="G19305" t="n">
        <v>11.9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22452-2025</t>
        </is>
      </c>
      <c r="B19306" s="1" t="n">
        <v>45786</v>
      </c>
      <c r="C19306" s="1" t="n">
        <v>45792</v>
      </c>
      <c r="D19306" t="inlineStr">
        <is>
          <t>VÄSTERBOTTENS LÄN</t>
        </is>
      </c>
      <c r="E19306" t="inlineStr">
        <is>
          <t>LYCKSELE</t>
        </is>
      </c>
      <c r="F19306" t="inlineStr">
        <is>
          <t>Sveaskog</t>
        </is>
      </c>
      <c r="G19306" t="n">
        <v>11.4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22453-2025</t>
        </is>
      </c>
      <c r="B19307" s="1" t="n">
        <v>45786</v>
      </c>
      <c r="C19307" s="1" t="n">
        <v>45792</v>
      </c>
      <c r="D19307" t="inlineStr">
        <is>
          <t>VÄSTERBOTTENS LÄN</t>
        </is>
      </c>
      <c r="E19307" t="inlineStr">
        <is>
          <t>LYCKSELE</t>
        </is>
      </c>
      <c r="F19307" t="inlineStr">
        <is>
          <t>Sveaskog</t>
        </is>
      </c>
      <c r="G19307" t="n">
        <v>5.9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22309-2025</t>
        </is>
      </c>
      <c r="B19308" s="1" t="n">
        <v>45786</v>
      </c>
      <c r="C19308" s="1" t="n">
        <v>45792</v>
      </c>
      <c r="D19308" t="inlineStr">
        <is>
          <t>VÄSTERBOTTENS LÄN</t>
        </is>
      </c>
      <c r="E19308" t="inlineStr">
        <is>
          <t>LYCKSELE</t>
        </is>
      </c>
      <c r="F19308" t="inlineStr">
        <is>
          <t>Holmen skog AB</t>
        </is>
      </c>
      <c r="G19308" t="n">
        <v>3.1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22403-2025</t>
        </is>
      </c>
      <c r="B19309" s="1" t="n">
        <v>45786</v>
      </c>
      <c r="C19309" s="1" t="n">
        <v>45792</v>
      </c>
      <c r="D19309" t="inlineStr">
        <is>
          <t>VÄSTERBOTTENS LÄN</t>
        </is>
      </c>
      <c r="E19309" t="inlineStr">
        <is>
          <t>LYCKSELE</t>
        </is>
      </c>
      <c r="F19309" t="inlineStr">
        <is>
          <t>Sveaskog</t>
        </is>
      </c>
      <c r="G19309" t="n">
        <v>20.7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22343-2025</t>
        </is>
      </c>
      <c r="B19310" s="1" t="n">
        <v>45786</v>
      </c>
      <c r="C19310" s="1" t="n">
        <v>45792</v>
      </c>
      <c r="D19310" t="inlineStr">
        <is>
          <t>VÄSTERBOTTENS LÄN</t>
        </is>
      </c>
      <c r="E19310" t="inlineStr">
        <is>
          <t>LYCKSELE</t>
        </is>
      </c>
      <c r="F19310" t="inlineStr">
        <is>
          <t>SCA</t>
        </is>
      </c>
      <c r="G19310" t="n">
        <v>4.7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22344-2025</t>
        </is>
      </c>
      <c r="B19311" s="1" t="n">
        <v>45786</v>
      </c>
      <c r="C19311" s="1" t="n">
        <v>45792</v>
      </c>
      <c r="D19311" t="inlineStr">
        <is>
          <t>VÄSTERBOTTENS LÄN</t>
        </is>
      </c>
      <c r="E19311" t="inlineStr">
        <is>
          <t>LYCKSELE</t>
        </is>
      </c>
      <c r="F19311" t="inlineStr">
        <is>
          <t>SCA</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22550-2025</t>
        </is>
      </c>
      <c r="B19312" s="1" t="n">
        <v>45788</v>
      </c>
      <c r="C19312" s="1" t="n">
        <v>45792</v>
      </c>
      <c r="D19312" t="inlineStr">
        <is>
          <t>VÄSTERBOTTENS LÄN</t>
        </is>
      </c>
      <c r="E19312" t="inlineStr">
        <is>
          <t>VINDELN</t>
        </is>
      </c>
      <c r="F19312" t="inlineStr">
        <is>
          <t>Holmen skog AB</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22551-2025</t>
        </is>
      </c>
      <c r="B19313" s="1" t="n">
        <v>45788</v>
      </c>
      <c r="C19313" s="1" t="n">
        <v>45792</v>
      </c>
      <c r="D19313" t="inlineStr">
        <is>
          <t>VÄSTERBOTTENS LÄN</t>
        </is>
      </c>
      <c r="E19313" t="inlineStr">
        <is>
          <t>NORSJÖ</t>
        </is>
      </c>
      <c r="G19313" t="n">
        <v>2.5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22674-2025</t>
        </is>
      </c>
      <c r="B19314" s="1" t="n">
        <v>45789</v>
      </c>
      <c r="C19314" s="1" t="n">
        <v>45792</v>
      </c>
      <c r="D19314" t="inlineStr">
        <is>
          <t>VÄSTERBOTTENS LÄN</t>
        </is>
      </c>
      <c r="E19314" t="inlineStr">
        <is>
          <t>UMEÅ</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22774-2025</t>
        </is>
      </c>
      <c r="B19315" s="1" t="n">
        <v>45789</v>
      </c>
      <c r="C19315" s="1" t="n">
        <v>45792</v>
      </c>
      <c r="D19315" t="inlineStr">
        <is>
          <t>VÄSTERBOTTENS LÄN</t>
        </is>
      </c>
      <c r="E19315" t="inlineStr">
        <is>
          <t>DOROTEA</t>
        </is>
      </c>
      <c r="F19315" t="inlineStr">
        <is>
          <t>SCA</t>
        </is>
      </c>
      <c r="G19315" t="n">
        <v>4.4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22833-2025</t>
        </is>
      </c>
      <c r="B19316" s="1" t="n">
        <v>45789</v>
      </c>
      <c r="C19316" s="1" t="n">
        <v>45792</v>
      </c>
      <c r="D19316" t="inlineStr">
        <is>
          <t>VÄSTERBOTTENS LÄN</t>
        </is>
      </c>
      <c r="E19316" t="inlineStr">
        <is>
          <t>NORDMALING</t>
        </is>
      </c>
      <c r="G19316" t="n">
        <v>5.8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22629-2025</t>
        </is>
      </c>
      <c r="B19317" s="1" t="n">
        <v>45789</v>
      </c>
      <c r="C19317" s="1" t="n">
        <v>45792</v>
      </c>
      <c r="D19317" t="inlineStr">
        <is>
          <t>VÄSTERBOTTENS LÄN</t>
        </is>
      </c>
      <c r="E19317" t="inlineStr">
        <is>
          <t>LYCKSELE</t>
        </is>
      </c>
      <c r="F19317" t="inlineStr">
        <is>
          <t>Sveaskog</t>
        </is>
      </c>
      <c r="G19317" t="n">
        <v>11.3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22739-2025</t>
        </is>
      </c>
      <c r="B19318" s="1" t="n">
        <v>45789</v>
      </c>
      <c r="C19318" s="1" t="n">
        <v>45792</v>
      </c>
      <c r="D19318" t="inlineStr">
        <is>
          <t>VÄSTERBOTTENS LÄN</t>
        </is>
      </c>
      <c r="E19318" t="inlineStr">
        <is>
          <t>NORDMALING</t>
        </is>
      </c>
      <c r="G19318" t="n">
        <v>11.9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22657-2025</t>
        </is>
      </c>
      <c r="B19319" s="1" t="n">
        <v>45789</v>
      </c>
      <c r="C19319" s="1" t="n">
        <v>45792</v>
      </c>
      <c r="D19319" t="inlineStr">
        <is>
          <t>VÄSTERBOTTENS LÄN</t>
        </is>
      </c>
      <c r="E19319" t="inlineStr">
        <is>
          <t>UMEÅ</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22617-2025</t>
        </is>
      </c>
      <c r="B19320" s="1" t="n">
        <v>45789</v>
      </c>
      <c r="C19320" s="1" t="n">
        <v>45792</v>
      </c>
      <c r="D19320" t="inlineStr">
        <is>
          <t>VÄSTERBOTTENS LÄN</t>
        </is>
      </c>
      <c r="E19320" t="inlineStr">
        <is>
          <t>VILHELMINA</t>
        </is>
      </c>
      <c r="F19320" t="inlineStr">
        <is>
          <t>SCA</t>
        </is>
      </c>
      <c r="G19320" t="n">
        <v>7.3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22779-2025</t>
        </is>
      </c>
      <c r="B19321" s="1" t="n">
        <v>45789</v>
      </c>
      <c r="C19321" s="1" t="n">
        <v>45792</v>
      </c>
      <c r="D19321" t="inlineStr">
        <is>
          <t>VÄSTERBOTTENS LÄN</t>
        </is>
      </c>
      <c r="E19321" t="inlineStr">
        <is>
          <t>ROBERTSFORS</t>
        </is>
      </c>
      <c r="G19321" t="n">
        <v>2.1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22781-2025</t>
        </is>
      </c>
      <c r="B19322" s="1" t="n">
        <v>45789</v>
      </c>
      <c r="C19322" s="1" t="n">
        <v>45792</v>
      </c>
      <c r="D19322" t="inlineStr">
        <is>
          <t>VÄSTERBOTTENS LÄN</t>
        </is>
      </c>
      <c r="E19322" t="inlineStr">
        <is>
          <t>ROBERTSFORS</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22782-2025</t>
        </is>
      </c>
      <c r="B19323" s="1" t="n">
        <v>45789</v>
      </c>
      <c r="C19323" s="1" t="n">
        <v>45792</v>
      </c>
      <c r="D19323" t="inlineStr">
        <is>
          <t>VÄSTERBOTTENS LÄN</t>
        </is>
      </c>
      <c r="E19323" t="inlineStr">
        <is>
          <t>ROBERTSFORS</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22584-2025</t>
        </is>
      </c>
      <c r="B19324" s="1" t="n">
        <v>45789</v>
      </c>
      <c r="C19324" s="1" t="n">
        <v>45792</v>
      </c>
      <c r="D19324" t="inlineStr">
        <is>
          <t>VÄSTERBOTTENS LÄN</t>
        </is>
      </c>
      <c r="E19324" t="inlineStr">
        <is>
          <t>LYCKSELE</t>
        </is>
      </c>
      <c r="G19324" t="n">
        <v>5.2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22759-2025</t>
        </is>
      </c>
      <c r="B19325" s="1" t="n">
        <v>45789</v>
      </c>
      <c r="C19325" s="1" t="n">
        <v>45792</v>
      </c>
      <c r="D19325" t="inlineStr">
        <is>
          <t>VÄSTERBOTTENS LÄN</t>
        </is>
      </c>
      <c r="E19325" t="inlineStr">
        <is>
          <t>LYCKSELE</t>
        </is>
      </c>
      <c r="F19325" t="inlineStr">
        <is>
          <t>Sveaskog</t>
        </is>
      </c>
      <c r="G19325" t="n">
        <v>25.5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22778-2025</t>
        </is>
      </c>
      <c r="B19326" s="1" t="n">
        <v>45789</v>
      </c>
      <c r="C19326" s="1" t="n">
        <v>45792</v>
      </c>
      <c r="D19326" t="inlineStr">
        <is>
          <t>VÄSTERBOTTENS LÄN</t>
        </is>
      </c>
      <c r="E19326" t="inlineStr">
        <is>
          <t>ROBERTSFORS</t>
        </is>
      </c>
      <c r="G19326" t="n">
        <v>0.6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22752-2025</t>
        </is>
      </c>
      <c r="B19327" s="1" t="n">
        <v>45789</v>
      </c>
      <c r="C19327" s="1" t="n">
        <v>45792</v>
      </c>
      <c r="D19327" t="inlineStr">
        <is>
          <t>VÄSTERBOTTENS LÄN</t>
        </is>
      </c>
      <c r="E19327" t="inlineStr">
        <is>
          <t>DOROTEA</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22560-2025</t>
        </is>
      </c>
      <c r="B19328" s="1" t="n">
        <v>45789</v>
      </c>
      <c r="C19328" s="1" t="n">
        <v>45792</v>
      </c>
      <c r="D19328" t="inlineStr">
        <is>
          <t>VÄSTERBOTTENS LÄN</t>
        </is>
      </c>
      <c r="E19328" t="inlineStr">
        <is>
          <t>VINDELN</t>
        </is>
      </c>
      <c r="G19328" t="n">
        <v>7.5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22824-2025</t>
        </is>
      </c>
      <c r="B19329" s="1" t="n">
        <v>45789</v>
      </c>
      <c r="C19329" s="1" t="n">
        <v>45792</v>
      </c>
      <c r="D19329" t="inlineStr">
        <is>
          <t>VÄSTERBOTTENS LÄN</t>
        </is>
      </c>
      <c r="E19329" t="inlineStr">
        <is>
          <t>SKELLEFTEÅ</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22673-2025</t>
        </is>
      </c>
      <c r="B19330" s="1" t="n">
        <v>45789</v>
      </c>
      <c r="C19330" s="1" t="n">
        <v>45792</v>
      </c>
      <c r="D19330" t="inlineStr">
        <is>
          <t>VÄSTERBOTTENS LÄN</t>
        </is>
      </c>
      <c r="E19330" t="inlineStr">
        <is>
          <t>ROBERTSFORS</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22764-2025</t>
        </is>
      </c>
      <c r="B19331" s="1" t="n">
        <v>45789</v>
      </c>
      <c r="C19331" s="1" t="n">
        <v>45792</v>
      </c>
      <c r="D19331" t="inlineStr">
        <is>
          <t>VÄSTERBOTTENS LÄN</t>
        </is>
      </c>
      <c r="E19331" t="inlineStr">
        <is>
          <t>VINDELN</t>
        </is>
      </c>
      <c r="F19331" t="inlineStr">
        <is>
          <t>Holmen skog AB</t>
        </is>
      </c>
      <c r="G19331" t="n">
        <v>6.1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22557-2025</t>
        </is>
      </c>
      <c r="B19332" s="1" t="n">
        <v>45789</v>
      </c>
      <c r="C19332" s="1" t="n">
        <v>45792</v>
      </c>
      <c r="D19332" t="inlineStr">
        <is>
          <t>VÄSTERBOTTENS LÄN</t>
        </is>
      </c>
      <c r="E19332" t="inlineStr">
        <is>
          <t>VINDELN</t>
        </is>
      </c>
      <c r="G19332" t="n">
        <v>6.9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22732-2025</t>
        </is>
      </c>
      <c r="B19333" s="1" t="n">
        <v>45789</v>
      </c>
      <c r="C19333" s="1" t="n">
        <v>45792</v>
      </c>
      <c r="D19333" t="inlineStr">
        <is>
          <t>VÄSTERBOTTENS LÄN</t>
        </is>
      </c>
      <c r="E19333" t="inlineStr">
        <is>
          <t>LYCKSELE</t>
        </is>
      </c>
      <c r="F19333" t="inlineStr">
        <is>
          <t>Sveaskog</t>
        </is>
      </c>
      <c r="G19333" t="n">
        <v>29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22780-2025</t>
        </is>
      </c>
      <c r="B19334" s="1" t="n">
        <v>45789</v>
      </c>
      <c r="C19334" s="1" t="n">
        <v>45792</v>
      </c>
      <c r="D19334" t="inlineStr">
        <is>
          <t>VÄSTERBOTTENS LÄN</t>
        </is>
      </c>
      <c r="E19334" t="inlineStr">
        <is>
          <t>ROBERTSFORS</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22720-2025</t>
        </is>
      </c>
      <c r="B19335" s="1" t="n">
        <v>45789</v>
      </c>
      <c r="C19335" s="1" t="n">
        <v>45792</v>
      </c>
      <c r="D19335" t="inlineStr">
        <is>
          <t>VÄSTERBOTTENS LÄN</t>
        </is>
      </c>
      <c r="E19335" t="inlineStr">
        <is>
          <t>LYCKSELE</t>
        </is>
      </c>
      <c r="F19335" t="inlineStr">
        <is>
          <t>Sveaskog</t>
        </is>
      </c>
      <c r="G19335" t="n">
        <v>29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22955-2025</t>
        </is>
      </c>
      <c r="B19336" s="1" t="n">
        <v>45790</v>
      </c>
      <c r="C19336" s="1" t="n">
        <v>45792</v>
      </c>
      <c r="D19336" t="inlineStr">
        <is>
          <t>VÄSTERBOTTENS LÄN</t>
        </is>
      </c>
      <c r="E19336" t="inlineStr">
        <is>
          <t>NORDMALING</t>
        </is>
      </c>
      <c r="G19336" t="n">
        <v>20.3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22971-2025</t>
        </is>
      </c>
      <c r="B19337" s="1" t="n">
        <v>45790</v>
      </c>
      <c r="C19337" s="1" t="n">
        <v>45792</v>
      </c>
      <c r="D19337" t="inlineStr">
        <is>
          <t>VÄSTERBOTTENS LÄN</t>
        </is>
      </c>
      <c r="E19337" t="inlineStr">
        <is>
          <t>SKELLEFTEÅ</t>
        </is>
      </c>
      <c r="G19337" t="n">
        <v>7.3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23018-2025</t>
        </is>
      </c>
      <c r="B19338" s="1" t="n">
        <v>45790</v>
      </c>
      <c r="C19338" s="1" t="n">
        <v>45792</v>
      </c>
      <c r="D19338" t="inlineStr">
        <is>
          <t>VÄSTERBOTTENS LÄN</t>
        </is>
      </c>
      <c r="E19338" t="inlineStr">
        <is>
          <t>SKELLEFTEÅ</t>
        </is>
      </c>
      <c r="F19338" t="inlineStr">
        <is>
          <t>Holmen skog AB</t>
        </is>
      </c>
      <c r="G19338" t="n">
        <v>4.1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22945-2025</t>
        </is>
      </c>
      <c r="B19339" s="1" t="n">
        <v>45790</v>
      </c>
      <c r="C19339" s="1" t="n">
        <v>45792</v>
      </c>
      <c r="D19339" t="inlineStr">
        <is>
          <t>VÄSTERBOTTENS LÄN</t>
        </is>
      </c>
      <c r="E19339" t="inlineStr">
        <is>
          <t>VILHELMINA</t>
        </is>
      </c>
      <c r="G19339" t="n">
        <v>22.6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23029-2025</t>
        </is>
      </c>
      <c r="B19340" s="1" t="n">
        <v>45790</v>
      </c>
      <c r="C19340" s="1" t="n">
        <v>45792</v>
      </c>
      <c r="D19340" t="inlineStr">
        <is>
          <t>VÄSTERBOTTENS LÄN</t>
        </is>
      </c>
      <c r="E19340" t="inlineStr">
        <is>
          <t>NORDMALING</t>
        </is>
      </c>
      <c r="G19340" t="n">
        <v>2.2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22980-2025</t>
        </is>
      </c>
      <c r="B19341" s="1" t="n">
        <v>45790</v>
      </c>
      <c r="C19341" s="1" t="n">
        <v>45792</v>
      </c>
      <c r="D19341" t="inlineStr">
        <is>
          <t>VÄSTERBOTTENS LÄN</t>
        </is>
      </c>
      <c r="E19341" t="inlineStr">
        <is>
          <t>ROBERTSFORS</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23008-2025</t>
        </is>
      </c>
      <c r="B19342" s="1" t="n">
        <v>45790</v>
      </c>
      <c r="C19342" s="1" t="n">
        <v>45792</v>
      </c>
      <c r="D19342" t="inlineStr">
        <is>
          <t>VÄSTERBOTTENS LÄN</t>
        </is>
      </c>
      <c r="E19342" t="inlineStr">
        <is>
          <t>LYCKSELE</t>
        </is>
      </c>
      <c r="F19342" t="inlineStr">
        <is>
          <t>SCA</t>
        </is>
      </c>
      <c r="G19342" t="n">
        <v>6.2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22896-2025</t>
        </is>
      </c>
      <c r="B19343" s="1" t="n">
        <v>45790</v>
      </c>
      <c r="C19343" s="1" t="n">
        <v>45792</v>
      </c>
      <c r="D19343" t="inlineStr">
        <is>
          <t>VÄSTERBOTTENS LÄN</t>
        </is>
      </c>
      <c r="E19343" t="inlineStr">
        <is>
          <t>VINDELN</t>
        </is>
      </c>
      <c r="G19343" t="n">
        <v>4.4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22962-2025</t>
        </is>
      </c>
      <c r="B19344" s="1" t="n">
        <v>45790</v>
      </c>
      <c r="C19344" s="1" t="n">
        <v>45792</v>
      </c>
      <c r="D19344" t="inlineStr">
        <is>
          <t>VÄSTERBOTTENS LÄN</t>
        </is>
      </c>
      <c r="E19344" t="inlineStr">
        <is>
          <t>NORDMALING</t>
        </is>
      </c>
      <c r="G19344" t="n">
        <v>2.7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22851-2025</t>
        </is>
      </c>
      <c r="B19345" s="1" t="n">
        <v>45790</v>
      </c>
      <c r="C19345" s="1" t="n">
        <v>45792</v>
      </c>
      <c r="D19345" t="inlineStr">
        <is>
          <t>VÄSTERBOTTENS LÄN</t>
        </is>
      </c>
      <c r="E19345" t="inlineStr">
        <is>
          <t>UMEÅ</t>
        </is>
      </c>
      <c r="F19345" t="inlineStr">
        <is>
          <t>Holmen skog AB</t>
        </is>
      </c>
      <c r="G19345" t="n">
        <v>20.6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23037-2025</t>
        </is>
      </c>
      <c r="B19346" s="1" t="n">
        <v>45790</v>
      </c>
      <c r="C19346" s="1" t="n">
        <v>45792</v>
      </c>
      <c r="D19346" t="inlineStr">
        <is>
          <t>VÄSTERBOTTENS LÄN</t>
        </is>
      </c>
      <c r="E19346" t="inlineStr">
        <is>
          <t>NORDMALING</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23074-2025</t>
        </is>
      </c>
      <c r="B19347" s="1" t="n">
        <v>45790</v>
      </c>
      <c r="C19347" s="1" t="n">
        <v>45792</v>
      </c>
      <c r="D19347" t="inlineStr">
        <is>
          <t>VÄSTERBOTTENS LÄN</t>
        </is>
      </c>
      <c r="E19347" t="inlineStr">
        <is>
          <t>BJURHOLM</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22908-2025</t>
        </is>
      </c>
      <c r="B19348" s="1" t="n">
        <v>45790</v>
      </c>
      <c r="C19348" s="1" t="n">
        <v>45792</v>
      </c>
      <c r="D19348" t="inlineStr">
        <is>
          <t>VÄSTERBOTTENS LÄN</t>
        </is>
      </c>
      <c r="E19348" t="inlineStr">
        <is>
          <t>ÅSELE</t>
        </is>
      </c>
      <c r="G19348" t="n">
        <v>7.3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22912-2025</t>
        </is>
      </c>
      <c r="B19349" s="1" t="n">
        <v>45790</v>
      </c>
      <c r="C19349" s="1" t="n">
        <v>45792</v>
      </c>
      <c r="D19349" t="inlineStr">
        <is>
          <t>VÄSTERBOTTENS LÄN</t>
        </is>
      </c>
      <c r="E19349" t="inlineStr">
        <is>
          <t>UMEÅ</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22973-2025</t>
        </is>
      </c>
      <c r="B19350" s="1" t="n">
        <v>45790</v>
      </c>
      <c r="C19350" s="1" t="n">
        <v>45792</v>
      </c>
      <c r="D19350" t="inlineStr">
        <is>
          <t>VÄSTERBOTTENS LÄN</t>
        </is>
      </c>
      <c r="E19350" t="inlineStr">
        <is>
          <t>ROBERTSFORS</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22838-2025</t>
        </is>
      </c>
      <c r="B19351" s="1" t="n">
        <v>45790</v>
      </c>
      <c r="C19351" s="1" t="n">
        <v>45792</v>
      </c>
      <c r="D19351" t="inlineStr">
        <is>
          <t>VÄSTERBOTTENS LÄN</t>
        </is>
      </c>
      <c r="E19351" t="inlineStr">
        <is>
          <t>SKELLEFTEÅ</t>
        </is>
      </c>
      <c r="G19351" t="n">
        <v>8.300000000000001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22900-2025</t>
        </is>
      </c>
      <c r="B19352" s="1" t="n">
        <v>45790</v>
      </c>
      <c r="C19352" s="1" t="n">
        <v>45792</v>
      </c>
      <c r="D19352" t="inlineStr">
        <is>
          <t>VÄSTERBOTTENS LÄN</t>
        </is>
      </c>
      <c r="E19352" t="inlineStr">
        <is>
          <t>VÄNNÄS</t>
        </is>
      </c>
      <c r="F19352" t="inlineStr">
        <is>
          <t>Holmen skog AB</t>
        </is>
      </c>
      <c r="G19352" t="n">
        <v>1.5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23041-2025</t>
        </is>
      </c>
      <c r="B19353" s="1" t="n">
        <v>45790</v>
      </c>
      <c r="C19353" s="1" t="n">
        <v>45792</v>
      </c>
      <c r="D19353" t="inlineStr">
        <is>
          <t>VÄSTERBOTTENS LÄN</t>
        </is>
      </c>
      <c r="E19353" t="inlineStr">
        <is>
          <t>NORDMALING</t>
        </is>
      </c>
      <c r="G19353" t="n">
        <v>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22921-2025</t>
        </is>
      </c>
      <c r="B19354" s="1" t="n">
        <v>45790</v>
      </c>
      <c r="C19354" s="1" t="n">
        <v>45792</v>
      </c>
      <c r="D19354" t="inlineStr">
        <is>
          <t>VÄSTERBOTTENS LÄN</t>
        </is>
      </c>
      <c r="E19354" t="inlineStr">
        <is>
          <t>SKELLEFTEÅ</t>
        </is>
      </c>
      <c r="F19354" t="inlineStr">
        <is>
          <t>Holmen skog AB</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23104-2025</t>
        </is>
      </c>
      <c r="B19355" s="1" t="n">
        <v>45791</v>
      </c>
      <c r="C19355" s="1" t="n">
        <v>45792</v>
      </c>
      <c r="D19355" t="inlineStr">
        <is>
          <t>VÄSTERBOTTENS LÄN</t>
        </is>
      </c>
      <c r="E19355" t="inlineStr">
        <is>
          <t>SKELLEFTEÅ</t>
        </is>
      </c>
      <c r="F19355" t="inlineStr">
        <is>
          <t>Holmen skog AB</t>
        </is>
      </c>
      <c r="G19355" t="n">
        <v>5.2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23277-2025</t>
        </is>
      </c>
      <c r="B19356" s="1" t="n">
        <v>45791</v>
      </c>
      <c r="C19356" s="1" t="n">
        <v>45792</v>
      </c>
      <c r="D19356" t="inlineStr">
        <is>
          <t>VÄSTERBOTTENS LÄN</t>
        </is>
      </c>
      <c r="E19356" t="inlineStr">
        <is>
          <t>LYCKSELE</t>
        </is>
      </c>
      <c r="F19356" t="inlineStr">
        <is>
          <t>Sveaskog</t>
        </is>
      </c>
      <c r="G19356" t="n">
        <v>15.1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23314-2025</t>
        </is>
      </c>
      <c r="B19357" s="1" t="n">
        <v>45791</v>
      </c>
      <c r="C19357" s="1" t="n">
        <v>45792</v>
      </c>
      <c r="D19357" t="inlineStr">
        <is>
          <t>VÄSTERBOTTENS LÄN</t>
        </is>
      </c>
      <c r="E19357" t="inlineStr">
        <is>
          <t>LYCKSELE</t>
        </is>
      </c>
      <c r="F19357" t="inlineStr">
        <is>
          <t>Sveaskog</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23373-2025</t>
        </is>
      </c>
      <c r="B19358" s="1" t="n">
        <v>45791</v>
      </c>
      <c r="C19358" s="1" t="n">
        <v>45792</v>
      </c>
      <c r="D19358" t="inlineStr">
        <is>
          <t>VÄSTERBOTTENS LÄN</t>
        </is>
      </c>
      <c r="E19358" t="inlineStr">
        <is>
          <t>SKELLEFTEÅ</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23360-2025</t>
        </is>
      </c>
      <c r="B19359" s="1" t="n">
        <v>45791</v>
      </c>
      <c r="C19359" s="1" t="n">
        <v>45792</v>
      </c>
      <c r="D19359" t="inlineStr">
        <is>
          <t>VÄSTERBOTTENS LÄN</t>
        </is>
      </c>
      <c r="E19359" t="inlineStr">
        <is>
          <t>VILHELMINA</t>
        </is>
      </c>
      <c r="F19359" t="inlineStr">
        <is>
          <t>SCA</t>
        </is>
      </c>
      <c r="G19359" t="n">
        <v>2.3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23144-2025</t>
        </is>
      </c>
      <c r="B19360" s="1" t="n">
        <v>45791</v>
      </c>
      <c r="C19360" s="1" t="n">
        <v>45792</v>
      </c>
      <c r="D19360" t="inlineStr">
        <is>
          <t>VÄSTERBOTTENS LÄN</t>
        </is>
      </c>
      <c r="E19360" t="inlineStr">
        <is>
          <t>SKELLEFTEÅ</t>
        </is>
      </c>
      <c r="G19360" t="n">
        <v>2.1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23260-2025</t>
        </is>
      </c>
      <c r="B19361" s="1" t="n">
        <v>45791</v>
      </c>
      <c r="C19361" s="1" t="n">
        <v>45792</v>
      </c>
      <c r="D19361" t="inlineStr">
        <is>
          <t>VÄSTERBOTTENS LÄN</t>
        </is>
      </c>
      <c r="E19361" t="inlineStr">
        <is>
          <t>ROBERTSFORS</t>
        </is>
      </c>
      <c r="F19361" t="inlineStr">
        <is>
          <t>Holmen skog AB</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23271-2025</t>
        </is>
      </c>
      <c r="B19362" s="1" t="n">
        <v>45791</v>
      </c>
      <c r="C19362" s="1" t="n">
        <v>45792</v>
      </c>
      <c r="D19362" t="inlineStr">
        <is>
          <t>VÄSTERBOTTENS LÄN</t>
        </is>
      </c>
      <c r="E19362" t="inlineStr">
        <is>
          <t>UMEÅ</t>
        </is>
      </c>
      <c r="F19362" t="inlineStr">
        <is>
          <t>Holmen skog AB</t>
        </is>
      </c>
      <c r="G19362" t="n">
        <v>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23274-2025</t>
        </is>
      </c>
      <c r="B19363" s="1" t="n">
        <v>45791</v>
      </c>
      <c r="C19363" s="1" t="n">
        <v>45792</v>
      </c>
      <c r="D19363" t="inlineStr">
        <is>
          <t>VÄSTERBOTTENS LÄN</t>
        </is>
      </c>
      <c r="E19363" t="inlineStr">
        <is>
          <t>LYCKSELE</t>
        </is>
      </c>
      <c r="F19363" t="inlineStr">
        <is>
          <t>Sveaskog</t>
        </is>
      </c>
      <c r="G19363" t="n">
        <v>15.1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23153-2025</t>
        </is>
      </c>
      <c r="B19364" s="1" t="n">
        <v>45791</v>
      </c>
      <c r="C19364" s="1" t="n">
        <v>45792</v>
      </c>
      <c r="D19364" t="inlineStr">
        <is>
          <t>VÄSTERBOTTENS LÄN</t>
        </is>
      </c>
      <c r="E19364" t="inlineStr">
        <is>
          <t>SKELLEFTEÅ</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23269-2025</t>
        </is>
      </c>
      <c r="B19365" s="1" t="n">
        <v>45791</v>
      </c>
      <c r="C19365" s="1" t="n">
        <v>45792</v>
      </c>
      <c r="D19365" t="inlineStr">
        <is>
          <t>VÄSTERBOTTENS LÄN</t>
        </is>
      </c>
      <c r="E19365" t="inlineStr">
        <is>
          <t>LYCKSELE</t>
        </is>
      </c>
      <c r="F19365" t="inlineStr">
        <is>
          <t>Sveaskog</t>
        </is>
      </c>
      <c r="G19365" t="n">
        <v>15.1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23281-2025</t>
        </is>
      </c>
      <c r="B19366" s="1" t="n">
        <v>45791</v>
      </c>
      <c r="C19366" s="1" t="n">
        <v>45792</v>
      </c>
      <c r="D19366" t="inlineStr">
        <is>
          <t>VÄSTERBOTTENS LÄN</t>
        </is>
      </c>
      <c r="E19366" t="inlineStr">
        <is>
          <t>VILHELMINA</t>
        </is>
      </c>
      <c r="F19366" t="inlineStr">
        <is>
          <t>SCA</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23328-2025</t>
        </is>
      </c>
      <c r="B19367" s="1" t="n">
        <v>45791</v>
      </c>
      <c r="C19367" s="1" t="n">
        <v>45792</v>
      </c>
      <c r="D19367" t="inlineStr">
        <is>
          <t>VÄSTERBOTTENS LÄN</t>
        </is>
      </c>
      <c r="E19367" t="inlineStr">
        <is>
          <t>LYCKSELE</t>
        </is>
      </c>
      <c r="F19367" t="inlineStr">
        <is>
          <t>Sveaskog</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23101-2025</t>
        </is>
      </c>
      <c r="B19368" s="1" t="n">
        <v>45791</v>
      </c>
      <c r="C19368" s="1" t="n">
        <v>45792</v>
      </c>
      <c r="D19368" t="inlineStr">
        <is>
          <t>VÄSTERBOTTENS LÄN</t>
        </is>
      </c>
      <c r="E19368" t="inlineStr">
        <is>
          <t>VÄNNÄS</t>
        </is>
      </c>
      <c r="F19368" t="inlineStr">
        <is>
          <t>Holmen skog AB</t>
        </is>
      </c>
      <c r="G19368" t="n">
        <v>8.199999999999999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23205-2025</t>
        </is>
      </c>
      <c r="B19369" s="1" t="n">
        <v>45791</v>
      </c>
      <c r="C19369" s="1" t="n">
        <v>45792</v>
      </c>
      <c r="D19369" t="inlineStr">
        <is>
          <t>VÄSTERBOTTENS LÄN</t>
        </is>
      </c>
      <c r="E19369" t="inlineStr">
        <is>
          <t>VÄNNÄS</t>
        </is>
      </c>
      <c r="F19369" t="inlineStr">
        <is>
          <t>Holmen skog AB</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23147-2025</t>
        </is>
      </c>
      <c r="B19370" s="1" t="n">
        <v>45791</v>
      </c>
      <c r="C19370" s="1" t="n">
        <v>45792</v>
      </c>
      <c r="D19370" t="inlineStr">
        <is>
          <t>VÄSTERBOTTENS LÄN</t>
        </is>
      </c>
      <c r="E19370" t="inlineStr">
        <is>
          <t>SKELLEFTEÅ</t>
        </is>
      </c>
      <c r="G19370" t="n">
        <v>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23170-2025</t>
        </is>
      </c>
      <c r="B19371" s="1" t="n">
        <v>45791</v>
      </c>
      <c r="C19371" s="1" t="n">
        <v>45792</v>
      </c>
      <c r="D19371" t="inlineStr">
        <is>
          <t>VÄSTERBOTTENS LÄN</t>
        </is>
      </c>
      <c r="E19371" t="inlineStr">
        <is>
          <t>ÅSELE</t>
        </is>
      </c>
      <c r="F19371" t="inlineStr">
        <is>
          <t>SCA</t>
        </is>
      </c>
      <c r="G19371" t="n">
        <v>6.4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23299-2025</t>
        </is>
      </c>
      <c r="B19372" s="1" t="n">
        <v>45791</v>
      </c>
      <c r="C19372" s="1" t="n">
        <v>45792</v>
      </c>
      <c r="D19372" t="inlineStr">
        <is>
          <t>VÄSTERBOTTENS LÄN</t>
        </is>
      </c>
      <c r="E19372" t="inlineStr">
        <is>
          <t>SKELLEFTEÅ</t>
        </is>
      </c>
      <c r="F19372" t="inlineStr">
        <is>
          <t>Holmen skog AB</t>
        </is>
      </c>
      <c r="G19372" t="n">
        <v>1.5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23327-2025</t>
        </is>
      </c>
      <c r="B19373" s="1" t="n">
        <v>45791</v>
      </c>
      <c r="C19373" s="1" t="n">
        <v>45792</v>
      </c>
      <c r="D19373" t="inlineStr">
        <is>
          <t>VÄSTERBOTTENS LÄN</t>
        </is>
      </c>
      <c r="E19373" t="inlineStr">
        <is>
          <t>SKELLEFTEÅ</t>
        </is>
      </c>
      <c r="F19373" t="inlineStr">
        <is>
          <t>Holmen skog AB</t>
        </is>
      </c>
      <c r="G19373" t="n">
        <v>5.4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23329-2025</t>
        </is>
      </c>
      <c r="B19374" s="1" t="n">
        <v>45791</v>
      </c>
      <c r="C19374" s="1" t="n">
        <v>45792</v>
      </c>
      <c r="D19374" t="inlineStr">
        <is>
          <t>VÄSTERBOTTENS LÄN</t>
        </is>
      </c>
      <c r="E19374" t="inlineStr">
        <is>
          <t>SKELLEFTEÅ</t>
        </is>
      </c>
      <c r="F19374" t="inlineStr">
        <is>
          <t>Holmen skog AB</t>
        </is>
      </c>
      <c r="G19374" t="n">
        <v>3.3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23208-2025</t>
        </is>
      </c>
      <c r="B19375" s="1" t="n">
        <v>45791</v>
      </c>
      <c r="C19375" s="1" t="n">
        <v>45792</v>
      </c>
      <c r="D19375" t="inlineStr">
        <is>
          <t>VÄSTERBOTTENS LÄN</t>
        </is>
      </c>
      <c r="E19375" t="inlineStr">
        <is>
          <t>SKELLEFTEÅ</t>
        </is>
      </c>
      <c r="G19375" t="n">
        <v>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23213-2025</t>
        </is>
      </c>
      <c r="B19376" s="1" t="n">
        <v>45791</v>
      </c>
      <c r="C19376" s="1" t="n">
        <v>45792</v>
      </c>
      <c r="D19376" t="inlineStr">
        <is>
          <t>VÄSTERBOTTENS LÄN</t>
        </is>
      </c>
      <c r="E19376" t="inlineStr">
        <is>
          <t>SKELLEFTEÅ</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23241-2025</t>
        </is>
      </c>
      <c r="B19377" s="1" t="n">
        <v>45791</v>
      </c>
      <c r="C19377" s="1" t="n">
        <v>45792</v>
      </c>
      <c r="D19377" t="inlineStr">
        <is>
          <t>VÄSTERBOTTENS LÄN</t>
        </is>
      </c>
      <c r="E19377" t="inlineStr">
        <is>
          <t>SKELLEFTEÅ</t>
        </is>
      </c>
      <c r="F19377" t="inlineStr">
        <is>
          <t>Holmen skog AB</t>
        </is>
      </c>
      <c r="G19377" t="n">
        <v>6.8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23341-2025</t>
        </is>
      </c>
      <c r="B19378" s="1" t="n">
        <v>45791</v>
      </c>
      <c r="C19378" s="1" t="n">
        <v>45792</v>
      </c>
      <c r="D19378" t="inlineStr">
        <is>
          <t>VÄSTERBOTTENS LÄN</t>
        </is>
      </c>
      <c r="E19378" t="inlineStr">
        <is>
          <t>LYCKSELE</t>
        </is>
      </c>
      <c r="F19378" t="inlineStr">
        <is>
          <t>Sveaskog</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23278-2025</t>
        </is>
      </c>
      <c r="B19379" s="1" t="n">
        <v>45791</v>
      </c>
      <c r="C19379" s="1" t="n">
        <v>45792</v>
      </c>
      <c r="D19379" t="inlineStr">
        <is>
          <t>VÄSTERBOTTENS LÄN</t>
        </is>
      </c>
      <c r="E19379" t="inlineStr">
        <is>
          <t>LYCKSELE</t>
        </is>
      </c>
      <c r="F19379" t="inlineStr">
        <is>
          <t>Sveaskog</t>
        </is>
      </c>
      <c r="G19379" t="n">
        <v>7.4</v>
      </c>
      <c r="H19379" t="n">
        <v>0</v>
      </c>
      <c r="I19379" t="n">
        <v>0</v>
      </c>
      <c r="J19379" t="n">
        <v>0</v>
      </c>
      <c r="K19379" t="n">
        <v>0</v>
      </c>
      <c r="L19379" t="n">
        <v>0</v>
      </c>
      <c r="M19379" t="n">
        <v>0</v>
      </c>
      <c r="N19379" t="n">
        <v>0</v>
      </c>
      <c r="O19379" t="n">
        <v>0</v>
      </c>
      <c r="P19379" t="n">
        <v>0</v>
      </c>
      <c r="Q19379" t="n">
        <v>0</v>
      </c>
      <c r="R19379" s="2" t="inlineStr"/>
    </row>
    <row r="19380">
      <c r="A19380" t="inlineStr">
        <is>
          <t>A 23310-2025</t>
        </is>
      </c>
      <c r="B19380" s="1" t="n">
        <v>45791</v>
      </c>
      <c r="C19380" s="1" t="n">
        <v>45792</v>
      </c>
      <c r="D19380" t="inlineStr">
        <is>
          <t>VÄSTERBOTTENS LÄN</t>
        </is>
      </c>
      <c r="E19380" t="inlineStr">
        <is>
          <t>LYCKSELE</t>
        </is>
      </c>
      <c r="F19380" t="inlineStr">
        <is>
          <t>Sveaskog</t>
        </is>
      </c>
      <c r="G19380" t="n">
        <v>12</v>
      </c>
      <c r="H19380" t="n">
        <v>0</v>
      </c>
      <c r="I19380" t="n">
        <v>0</v>
      </c>
      <c r="J19380" t="n">
        <v>0</v>
      </c>
      <c r="K19380" t="n">
        <v>0</v>
      </c>
      <c r="L19380" t="n">
        <v>0</v>
      </c>
      <c r="M19380" t="n">
        <v>0</v>
      </c>
      <c r="N19380" t="n">
        <v>0</v>
      </c>
      <c r="O19380" t="n">
        <v>0</v>
      </c>
      <c r="P19380" t="n">
        <v>0</v>
      </c>
      <c r="Q19380" t="n">
        <v>0</v>
      </c>
      <c r="R19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2025-05-15T16:44:26Z</dcterms:created>
  <dcterms:modified xmlns:dcterms="http://purl.org/dc/terms/" xmlns:xsi="http://www.w3.org/2001/XMLSchema-instance" xsi:type="dcterms:W3CDTF">2025-05-15T16:44:50Z</dcterms:modified>
</cp:coreProperties>
</file>