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38802-2025</t>
        </is>
      </c>
      <c r="B2" s="1" t="n">
        <v>45887.46398148148</v>
      </c>
      <c r="C2" s="1" t="n">
        <v>45952</v>
      </c>
      <c r="D2" t="inlineStr">
        <is>
          <t>VÄSTERBOTTENS LÄN</t>
        </is>
      </c>
      <c r="E2" t="inlineStr">
        <is>
          <t>LYCKSELE</t>
        </is>
      </c>
      <c r="G2" t="n">
        <v>17.9</v>
      </c>
      <c r="H2" t="n">
        <v>4</v>
      </c>
      <c r="I2" t="n">
        <v>4</v>
      </c>
      <c r="J2" t="n">
        <v>17</v>
      </c>
      <c r="K2" t="n">
        <v>3</v>
      </c>
      <c r="L2" t="n">
        <v>0</v>
      </c>
      <c r="M2" t="n">
        <v>0</v>
      </c>
      <c r="N2" t="n">
        <v>0</v>
      </c>
      <c r="O2" t="n">
        <v>20</v>
      </c>
      <c r="P2" t="n">
        <v>3</v>
      </c>
      <c r="Q2" t="n">
        <v>24</v>
      </c>
      <c r="R2" s="2" t="inlineStr">
        <is>
          <t>Knärot
Kristallticka
Torrmusseron
Blå taggsvamp
Brunpudrad nållav
Dvärgbägarlav
Garnlav
Granticka
Kolflarnlav
Lunglav
Mörk kolflarnlav
Orange taggsvamp
Spillkråka
Talltita
Tretåig hackspett
Ullticka
Vedflamlav
Vedskivlav
Vedtrappmossa
Äggvaxskivling
Dropptaggsvamp
Gulnål
Luddlav
Skarp dropptaggsvamp</t>
        </is>
      </c>
      <c r="S2">
        <f>HYPERLINK("https://klasma.github.io/Logging_2481/artfynd/A 38802-2025 artfynd.xlsx", "A 38802-2025")</f>
        <v/>
      </c>
      <c r="T2">
        <f>HYPERLINK("https://klasma.github.io/Logging_2481/kartor/A 38802-2025 karta.png", "A 38802-2025")</f>
        <v/>
      </c>
      <c r="U2">
        <f>HYPERLINK("https://klasma.github.io/Logging_2481/knärot/A 38802-2025 karta knärot.png", "A 38802-2025")</f>
        <v/>
      </c>
      <c r="V2">
        <f>HYPERLINK("https://klasma.github.io/Logging_2481/klagomål/A 38802-2025 FSC-klagomål.docx", "A 38802-2025")</f>
        <v/>
      </c>
      <c r="W2">
        <f>HYPERLINK("https://klasma.github.io/Logging_2481/klagomålsmail/A 38802-2025 FSC-klagomål mail.docx", "A 38802-2025")</f>
        <v/>
      </c>
      <c r="X2">
        <f>HYPERLINK("https://klasma.github.io/Logging_2481/tillsyn/A 38802-2025 tillsynsbegäran.docx", "A 38802-2025")</f>
        <v/>
      </c>
      <c r="Y2">
        <f>HYPERLINK("https://klasma.github.io/Logging_2481/tillsynsmail/A 38802-2025 tillsynsbegäran mail.docx", "A 38802-2025")</f>
        <v/>
      </c>
      <c r="Z2">
        <f>HYPERLINK("https://klasma.github.io/Logging_2481/fåglar/A 38802-2025 prioriterade fågelarter.docx", "A 38802-2025")</f>
        <v/>
      </c>
    </row>
    <row r="3" ht="15" customHeight="1">
      <c r="A3" t="inlineStr">
        <is>
          <t>A 30159-2024</t>
        </is>
      </c>
      <c r="B3" s="1" t="n">
        <v>45488</v>
      </c>
      <c r="C3" s="1" t="n">
        <v>45952</v>
      </c>
      <c r="D3" t="inlineStr">
        <is>
          <t>VÄSTERBOTTENS LÄN</t>
        </is>
      </c>
      <c r="E3" t="inlineStr">
        <is>
          <t>LYCKSELE</t>
        </is>
      </c>
      <c r="F3" t="inlineStr">
        <is>
          <t>Sveaskog</t>
        </is>
      </c>
      <c r="G3" t="n">
        <v>14.7</v>
      </c>
      <c r="H3" t="n">
        <v>0</v>
      </c>
      <c r="I3" t="n">
        <v>3</v>
      </c>
      <c r="J3" t="n">
        <v>12</v>
      </c>
      <c r="K3" t="n">
        <v>5</v>
      </c>
      <c r="L3" t="n">
        <v>0</v>
      </c>
      <c r="M3" t="n">
        <v>0</v>
      </c>
      <c r="N3" t="n">
        <v>0</v>
      </c>
      <c r="O3" t="n">
        <v>17</v>
      </c>
      <c r="P3" t="n">
        <v>5</v>
      </c>
      <c r="Q3" t="n">
        <v>20</v>
      </c>
      <c r="R3" s="2" t="inlineStr">
        <is>
          <t>Goliatmusseron
Jättemusseron
Smalfotad taggsvamp
Tallgråticka
Torrmusseron
Blå taggsvamp
Blågrå svartspik
Dvärgbägarlav
Kolflarnlav
Mörk kolflarnlav
Orange taggsvamp
Skrovlig taggsvamp
Svart taggsvamp
Svartvit taggsvamp
Talltaggsvamp
Vaddporing
Vedskivlav
Dropptaggsvamp
Luddlav
Skarp dropptaggsvamp</t>
        </is>
      </c>
      <c r="S3">
        <f>HYPERLINK("https://klasma.github.io/Logging_2481/artfynd/A 30159-2024 artfynd.xlsx", "A 30159-2024")</f>
        <v/>
      </c>
      <c r="T3">
        <f>HYPERLINK("https://klasma.github.io/Logging_2481/kartor/A 30159-2024 karta.png", "A 30159-2024")</f>
        <v/>
      </c>
      <c r="V3">
        <f>HYPERLINK("https://klasma.github.io/Logging_2481/klagomål/A 30159-2024 FSC-klagomål.docx", "A 30159-2024")</f>
        <v/>
      </c>
      <c r="W3">
        <f>HYPERLINK("https://klasma.github.io/Logging_2481/klagomålsmail/A 30159-2024 FSC-klagomål mail.docx", "A 30159-2024")</f>
        <v/>
      </c>
      <c r="X3">
        <f>HYPERLINK("https://klasma.github.io/Logging_2481/tillsyn/A 30159-2024 tillsynsbegäran.docx", "A 30159-2024")</f>
        <v/>
      </c>
      <c r="Y3">
        <f>HYPERLINK("https://klasma.github.io/Logging_2481/tillsynsmail/A 30159-2024 tillsynsbegäran mail.docx", "A 30159-2024")</f>
        <v/>
      </c>
    </row>
    <row r="4" ht="15" customHeight="1">
      <c r="A4" t="inlineStr">
        <is>
          <t>A 41223-2024</t>
        </is>
      </c>
      <c r="B4" s="1" t="n">
        <v>45559.55326388889</v>
      </c>
      <c r="C4" s="1" t="n">
        <v>45952</v>
      </c>
      <c r="D4" t="inlineStr">
        <is>
          <t>VÄSTERBOTTENS LÄN</t>
        </is>
      </c>
      <c r="E4" t="inlineStr">
        <is>
          <t>LYCKSELE</t>
        </is>
      </c>
      <c r="F4" t="inlineStr">
        <is>
          <t>Sveaskog</t>
        </is>
      </c>
      <c r="G4" t="n">
        <v>5.4</v>
      </c>
      <c r="H4" t="n">
        <v>9</v>
      </c>
      <c r="I4" t="n">
        <v>4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19</v>
      </c>
      <c r="R4" s="2" t="inlineStr">
        <is>
          <t>Knärot
Garnlav
Granticka
Harticka
Spillkråka
Talltita
Tretåig hackspett
Vedskivlav
Violettgrå tagellav
Vitgrynig nållav
Gulnål
Norrlandslav
Trådticka
Vedticka
Kungsfågel
Lavskrika
Tjäder
Fläcknycklar
Revlummer</t>
        </is>
      </c>
      <c r="S4">
        <f>HYPERLINK("https://klasma.github.io/Logging_2481/artfynd/A 41223-2024 artfynd.xlsx", "A 41223-2024")</f>
        <v/>
      </c>
      <c r="T4">
        <f>HYPERLINK("https://klasma.github.io/Logging_2481/kartor/A 41223-2024 karta.png", "A 41223-2024")</f>
        <v/>
      </c>
      <c r="U4">
        <f>HYPERLINK("https://klasma.github.io/Logging_2481/knärot/A 41223-2024 karta knärot.png", "A 41223-2024")</f>
        <v/>
      </c>
      <c r="V4">
        <f>HYPERLINK("https://klasma.github.io/Logging_2481/klagomål/A 41223-2024 FSC-klagomål.docx", "A 41223-2024")</f>
        <v/>
      </c>
      <c r="W4">
        <f>HYPERLINK("https://klasma.github.io/Logging_2481/klagomålsmail/A 41223-2024 FSC-klagomål mail.docx", "A 41223-2024")</f>
        <v/>
      </c>
      <c r="X4">
        <f>HYPERLINK("https://klasma.github.io/Logging_2481/tillsyn/A 41223-2024 tillsynsbegäran.docx", "A 41223-2024")</f>
        <v/>
      </c>
      <c r="Y4">
        <f>HYPERLINK("https://klasma.github.io/Logging_2481/tillsynsmail/A 41223-2024 tillsynsbegäran mail.docx", "A 41223-2024")</f>
        <v/>
      </c>
      <c r="Z4">
        <f>HYPERLINK("https://klasma.github.io/Logging_2481/fåglar/A 41223-2024 prioriterade fågelarter.docx", "A 41223-2024")</f>
        <v/>
      </c>
    </row>
    <row r="5" ht="15" customHeight="1">
      <c r="A5" t="inlineStr">
        <is>
          <t>A 43734-2021</t>
        </is>
      </c>
      <c r="B5" s="1" t="n">
        <v>44433</v>
      </c>
      <c r="C5" s="1" t="n">
        <v>45952</v>
      </c>
      <c r="D5" t="inlineStr">
        <is>
          <t>VÄSTERBOTTENS LÄN</t>
        </is>
      </c>
      <c r="E5" t="inlineStr">
        <is>
          <t>LYCKSELE</t>
        </is>
      </c>
      <c r="F5" t="inlineStr">
        <is>
          <t>Sveaskog</t>
        </is>
      </c>
      <c r="G5" t="n">
        <v>5.5</v>
      </c>
      <c r="H5" t="n">
        <v>0</v>
      </c>
      <c r="I5" t="n">
        <v>3</v>
      </c>
      <c r="J5" t="n">
        <v>11</v>
      </c>
      <c r="K5" t="n">
        <v>3</v>
      </c>
      <c r="L5" t="n">
        <v>0</v>
      </c>
      <c r="M5" t="n">
        <v>0</v>
      </c>
      <c r="N5" t="n">
        <v>0</v>
      </c>
      <c r="O5" t="n">
        <v>14</v>
      </c>
      <c r="P5" t="n">
        <v>3</v>
      </c>
      <c r="Q5" t="n">
        <v>17</v>
      </c>
      <c r="R5" s="2" t="inlineStr">
        <is>
          <t>Goliatmusseron
Smalfotad taggsvamp
Tallgråticka
Blå taggsvamp
Dvärgbägarlav
Garnlav
Kolflarnlav
Mörk kolflarnlav
Orange taggsvamp
Skrovlig taggsvamp
Svart taggsvamp
Vaddporing
Vedflamlav
Vedskivlav
Dropptaggsvamp
Skarp dropptaggsvamp
Vedticka</t>
        </is>
      </c>
      <c r="S5">
        <f>HYPERLINK("https://klasma.github.io/Logging_2481/artfynd/A 43734-2021 artfynd.xlsx", "A 43734-2021")</f>
        <v/>
      </c>
      <c r="T5">
        <f>HYPERLINK("https://klasma.github.io/Logging_2481/kartor/A 43734-2021 karta.png", "A 43734-2021")</f>
        <v/>
      </c>
      <c r="V5">
        <f>HYPERLINK("https://klasma.github.io/Logging_2481/klagomål/A 43734-2021 FSC-klagomål.docx", "A 43734-2021")</f>
        <v/>
      </c>
      <c r="W5">
        <f>HYPERLINK("https://klasma.github.io/Logging_2481/klagomålsmail/A 43734-2021 FSC-klagomål mail.docx", "A 43734-2021")</f>
        <v/>
      </c>
      <c r="X5">
        <f>HYPERLINK("https://klasma.github.io/Logging_2481/tillsyn/A 43734-2021 tillsynsbegäran.docx", "A 43734-2021")</f>
        <v/>
      </c>
      <c r="Y5">
        <f>HYPERLINK("https://klasma.github.io/Logging_2481/tillsynsmail/A 43734-2021 tillsynsbegäran mail.docx", "A 43734-2021")</f>
        <v/>
      </c>
    </row>
    <row r="6" ht="15" customHeight="1">
      <c r="A6" t="inlineStr">
        <is>
          <t>A 30689-2025</t>
        </is>
      </c>
      <c r="B6" s="1" t="n">
        <v>45831.53586805556</v>
      </c>
      <c r="C6" s="1" t="n">
        <v>45952</v>
      </c>
      <c r="D6" t="inlineStr">
        <is>
          <t>VÄSTERBOTTENS LÄN</t>
        </is>
      </c>
      <c r="E6" t="inlineStr">
        <is>
          <t>LYCKSELE</t>
        </is>
      </c>
      <c r="F6" t="inlineStr">
        <is>
          <t>Sveaskog</t>
        </is>
      </c>
      <c r="G6" t="n">
        <v>9.1</v>
      </c>
      <c r="H6" t="n">
        <v>5</v>
      </c>
      <c r="I6" t="n">
        <v>5</v>
      </c>
      <c r="J6" t="n">
        <v>10</v>
      </c>
      <c r="K6" t="n">
        <v>0</v>
      </c>
      <c r="L6" t="n">
        <v>0</v>
      </c>
      <c r="M6" t="n">
        <v>0</v>
      </c>
      <c r="N6" t="n">
        <v>0</v>
      </c>
      <c r="O6" t="n">
        <v>10</v>
      </c>
      <c r="P6" t="n">
        <v>0</v>
      </c>
      <c r="Q6" t="n">
        <v>17</v>
      </c>
      <c r="R6" s="2" t="inlineStr">
        <is>
          <t>Doftskinn
Gammelgransskål
Garnlav
Granticka
Lunglav
Spillkråka
Talltita
Tretåig hackspett
Vedskivlav
Violettgrå tagellav
Bårdlav
Luddlav
Stor aspticka
Stuplav
Vedticka
Kungsfågel
Tjäder</t>
        </is>
      </c>
      <c r="S6">
        <f>HYPERLINK("https://klasma.github.io/Logging_2481/artfynd/A 30689-2025 artfynd.xlsx", "A 30689-2025")</f>
        <v/>
      </c>
      <c r="T6">
        <f>HYPERLINK("https://klasma.github.io/Logging_2481/kartor/A 30689-2025 karta.png", "A 30689-2025")</f>
        <v/>
      </c>
      <c r="V6">
        <f>HYPERLINK("https://klasma.github.io/Logging_2481/klagomål/A 30689-2025 FSC-klagomål.docx", "A 30689-2025")</f>
        <v/>
      </c>
      <c r="W6">
        <f>HYPERLINK("https://klasma.github.io/Logging_2481/klagomålsmail/A 30689-2025 FSC-klagomål mail.docx", "A 30689-2025")</f>
        <v/>
      </c>
      <c r="X6">
        <f>HYPERLINK("https://klasma.github.io/Logging_2481/tillsyn/A 30689-2025 tillsynsbegäran.docx", "A 30689-2025")</f>
        <v/>
      </c>
      <c r="Y6">
        <f>HYPERLINK("https://klasma.github.io/Logging_2481/tillsynsmail/A 30689-2025 tillsynsbegäran mail.docx", "A 30689-2025")</f>
        <v/>
      </c>
      <c r="Z6">
        <f>HYPERLINK("https://klasma.github.io/Logging_2481/fåglar/A 30689-2025 prioriterade fågelarter.docx", "A 30689-2025")</f>
        <v/>
      </c>
    </row>
    <row r="7" ht="15" customHeight="1">
      <c r="A7" t="inlineStr">
        <is>
          <t>A 28719-2021</t>
        </is>
      </c>
      <c r="B7" s="1" t="n">
        <v>44357.45625</v>
      </c>
      <c r="C7" s="1" t="n">
        <v>45952</v>
      </c>
      <c r="D7" t="inlineStr">
        <is>
          <t>VÄSTERBOTTENS LÄN</t>
        </is>
      </c>
      <c r="E7" t="inlineStr">
        <is>
          <t>LYCKSELE</t>
        </is>
      </c>
      <c r="G7" t="n">
        <v>25.2</v>
      </c>
      <c r="H7" t="n">
        <v>1</v>
      </c>
      <c r="I7" t="n">
        <v>2</v>
      </c>
      <c r="J7" t="n">
        <v>13</v>
      </c>
      <c r="K7" t="n">
        <v>1</v>
      </c>
      <c r="L7" t="n">
        <v>0</v>
      </c>
      <c r="M7" t="n">
        <v>0</v>
      </c>
      <c r="N7" t="n">
        <v>0</v>
      </c>
      <c r="O7" t="n">
        <v>14</v>
      </c>
      <c r="P7" t="n">
        <v>1</v>
      </c>
      <c r="Q7" t="n">
        <v>16</v>
      </c>
      <c r="R7" s="2" t="inlineStr">
        <is>
          <t>Lunglavsknapp
Blanksvart spiklav
Gammelgransskål
Garnlav
Granticka
Leptoporus mollis
Lunglav
Skogshare
Tallticka
Tretåig hackspett
Ullticka
Vedflamlav
Vitgrynig nållav
Vitplätt
Bårdlav
Stuplav</t>
        </is>
      </c>
      <c r="S7">
        <f>HYPERLINK("https://klasma.github.io/Logging_2481/artfynd/A 28719-2021 artfynd.xlsx", "A 28719-2021")</f>
        <v/>
      </c>
      <c r="T7">
        <f>HYPERLINK("https://klasma.github.io/Logging_2481/kartor/A 28719-2021 karta.png", "A 28719-2021")</f>
        <v/>
      </c>
      <c r="V7">
        <f>HYPERLINK("https://klasma.github.io/Logging_2481/klagomål/A 28719-2021 FSC-klagomål.docx", "A 28719-2021")</f>
        <v/>
      </c>
      <c r="W7">
        <f>HYPERLINK("https://klasma.github.io/Logging_2481/klagomålsmail/A 28719-2021 FSC-klagomål mail.docx", "A 28719-2021")</f>
        <v/>
      </c>
      <c r="X7">
        <f>HYPERLINK("https://klasma.github.io/Logging_2481/tillsyn/A 28719-2021 tillsynsbegäran.docx", "A 28719-2021")</f>
        <v/>
      </c>
      <c r="Y7">
        <f>HYPERLINK("https://klasma.github.io/Logging_2481/tillsynsmail/A 28719-2021 tillsynsbegäran mail.docx", "A 28719-2021")</f>
        <v/>
      </c>
      <c r="Z7">
        <f>HYPERLINK("https://klasma.github.io/Logging_2481/fåglar/A 28719-2021 prioriterade fågelarter.docx", "A 28719-2021")</f>
        <v/>
      </c>
    </row>
    <row r="8" ht="15" customHeight="1">
      <c r="A8" t="inlineStr">
        <is>
          <t>A 58596-2022</t>
        </is>
      </c>
      <c r="B8" s="1" t="n">
        <v>44902</v>
      </c>
      <c r="C8" s="1" t="n">
        <v>45952</v>
      </c>
      <c r="D8" t="inlineStr">
        <is>
          <t>VÄSTERBOTTENS LÄN</t>
        </is>
      </c>
      <c r="E8" t="inlineStr">
        <is>
          <t>LYCKSELE</t>
        </is>
      </c>
      <c r="F8" t="inlineStr">
        <is>
          <t>Sveaskog</t>
        </is>
      </c>
      <c r="G8" t="n">
        <v>2.9</v>
      </c>
      <c r="H8" t="n">
        <v>1</v>
      </c>
      <c r="I8" t="n">
        <v>7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13</v>
      </c>
      <c r="R8" s="2" t="inlineStr">
        <is>
          <t>Garnlav
Kolflarnlav
Lunglav
Skrovellav
Spillkråka
Vaddporing
Bårdlav
Dropptaggsvamp
Kornig nållav
Luddlav
Skinnlav
Stuplav
Vedticka</t>
        </is>
      </c>
      <c r="S8">
        <f>HYPERLINK("https://klasma.github.io/Logging_2481/artfynd/A 58596-2022 artfynd.xlsx", "A 58596-2022")</f>
        <v/>
      </c>
      <c r="T8">
        <f>HYPERLINK("https://klasma.github.io/Logging_2481/kartor/A 58596-2022 karta.png", "A 58596-2022")</f>
        <v/>
      </c>
      <c r="V8">
        <f>HYPERLINK("https://klasma.github.io/Logging_2481/klagomål/A 58596-2022 FSC-klagomål.docx", "A 58596-2022")</f>
        <v/>
      </c>
      <c r="W8">
        <f>HYPERLINK("https://klasma.github.io/Logging_2481/klagomålsmail/A 58596-2022 FSC-klagomål mail.docx", "A 58596-2022")</f>
        <v/>
      </c>
      <c r="X8">
        <f>HYPERLINK("https://klasma.github.io/Logging_2481/tillsyn/A 58596-2022 tillsynsbegäran.docx", "A 58596-2022")</f>
        <v/>
      </c>
      <c r="Y8">
        <f>HYPERLINK("https://klasma.github.io/Logging_2481/tillsynsmail/A 58596-2022 tillsynsbegäran mail.docx", "A 58596-2022")</f>
        <v/>
      </c>
      <c r="Z8">
        <f>HYPERLINK("https://klasma.github.io/Logging_2481/fåglar/A 58596-2022 prioriterade fågelarter.docx", "A 58596-2022")</f>
        <v/>
      </c>
    </row>
    <row r="9" ht="15" customHeight="1">
      <c r="A9" t="inlineStr">
        <is>
          <t>A 50813-2023</t>
        </is>
      </c>
      <c r="B9" s="1" t="n">
        <v>45217</v>
      </c>
      <c r="C9" s="1" t="n">
        <v>45952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14.7</v>
      </c>
      <c r="H9" t="n">
        <v>3</v>
      </c>
      <c r="I9" t="n">
        <v>6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13</v>
      </c>
      <c r="R9" s="2" t="inlineStr">
        <is>
          <t>Brunpudrad nållav
Garnlav
Lunglav
Skrovellav
Bårdlav
Luddlav
Norrlandslav
Skinnlav
Stuplav
Tibast
Tjäder
Fläcknycklar
Revlummer</t>
        </is>
      </c>
      <c r="S9">
        <f>HYPERLINK("https://klasma.github.io/Logging_2481/artfynd/A 50813-2023 artfynd.xlsx", "A 50813-2023")</f>
        <v/>
      </c>
      <c r="T9">
        <f>HYPERLINK("https://klasma.github.io/Logging_2481/kartor/A 50813-2023 karta.png", "A 50813-2023")</f>
        <v/>
      </c>
      <c r="V9">
        <f>HYPERLINK("https://klasma.github.io/Logging_2481/klagomål/A 50813-2023 FSC-klagomål.docx", "A 50813-2023")</f>
        <v/>
      </c>
      <c r="W9">
        <f>HYPERLINK("https://klasma.github.io/Logging_2481/klagomålsmail/A 50813-2023 FSC-klagomål mail.docx", "A 50813-2023")</f>
        <v/>
      </c>
      <c r="X9">
        <f>HYPERLINK("https://klasma.github.io/Logging_2481/tillsyn/A 50813-2023 tillsynsbegäran.docx", "A 50813-2023")</f>
        <v/>
      </c>
      <c r="Y9">
        <f>HYPERLINK("https://klasma.github.io/Logging_2481/tillsynsmail/A 50813-2023 tillsynsbegäran mail.docx", "A 50813-2023")</f>
        <v/>
      </c>
      <c r="Z9">
        <f>HYPERLINK("https://klasma.github.io/Logging_2481/fåglar/A 50813-2023 prioriterade fågelarter.docx", "A 50813-2023")</f>
        <v/>
      </c>
    </row>
    <row r="10" ht="15" customHeight="1">
      <c r="A10" t="inlineStr">
        <is>
          <t>A 53141-2024</t>
        </is>
      </c>
      <c r="B10" s="1" t="n">
        <v>45611.60192129629</v>
      </c>
      <c r="C10" s="1" t="n">
        <v>45952</v>
      </c>
      <c r="D10" t="inlineStr">
        <is>
          <t>VÄSTERBOTTENS LÄN</t>
        </is>
      </c>
      <c r="E10" t="inlineStr">
        <is>
          <t>LYCKSELE</t>
        </is>
      </c>
      <c r="F10" t="inlineStr">
        <is>
          <t>Holmen skog AB</t>
        </is>
      </c>
      <c r="G10" t="n">
        <v>25.4</v>
      </c>
      <c r="H10" t="n">
        <v>4</v>
      </c>
      <c r="I10" t="n">
        <v>3</v>
      </c>
      <c r="J10" t="n">
        <v>7</v>
      </c>
      <c r="K10" t="n">
        <v>1</v>
      </c>
      <c r="L10" t="n">
        <v>0</v>
      </c>
      <c r="M10" t="n">
        <v>0</v>
      </c>
      <c r="N10" t="n">
        <v>0</v>
      </c>
      <c r="O10" t="n">
        <v>8</v>
      </c>
      <c r="P10" t="n">
        <v>1</v>
      </c>
      <c r="Q10" t="n">
        <v>13</v>
      </c>
      <c r="R10" s="2" t="inlineStr">
        <is>
          <t>Knärot
Garnlav
Granticka
Harticka
Lunglav
Skrovellav
Talltita
Violmussling
Bårdlav
Luddlav
Stuplav
Fläcknycklar
Revlummer</t>
        </is>
      </c>
      <c r="S10">
        <f>HYPERLINK("https://klasma.github.io/Logging_2481/artfynd/A 53141-2024 artfynd.xlsx", "A 53141-2024")</f>
        <v/>
      </c>
      <c r="T10">
        <f>HYPERLINK("https://klasma.github.io/Logging_2481/kartor/A 53141-2024 karta.png", "A 53141-2024")</f>
        <v/>
      </c>
      <c r="U10">
        <f>HYPERLINK("https://klasma.github.io/Logging_2481/knärot/A 53141-2024 karta knärot.png", "A 53141-2024")</f>
        <v/>
      </c>
      <c r="V10">
        <f>HYPERLINK("https://klasma.github.io/Logging_2481/klagomål/A 53141-2024 FSC-klagomål.docx", "A 53141-2024")</f>
        <v/>
      </c>
      <c r="W10">
        <f>HYPERLINK("https://klasma.github.io/Logging_2481/klagomålsmail/A 53141-2024 FSC-klagomål mail.docx", "A 53141-2024")</f>
        <v/>
      </c>
      <c r="X10">
        <f>HYPERLINK("https://klasma.github.io/Logging_2481/tillsyn/A 53141-2024 tillsynsbegäran.docx", "A 53141-2024")</f>
        <v/>
      </c>
      <c r="Y10">
        <f>HYPERLINK("https://klasma.github.io/Logging_2481/tillsynsmail/A 53141-2024 tillsynsbegäran mail.docx", "A 53141-2024")</f>
        <v/>
      </c>
      <c r="Z10">
        <f>HYPERLINK("https://klasma.github.io/Logging_2481/fåglar/A 53141-2024 prioriterade fågelarter.docx", "A 53141-2024")</f>
        <v/>
      </c>
    </row>
    <row r="11" ht="15" customHeight="1">
      <c r="A11" t="inlineStr">
        <is>
          <t>A 37406-2025</t>
        </is>
      </c>
      <c r="B11" s="1" t="n">
        <v>45877.46135416667</v>
      </c>
      <c r="C11" s="1" t="n">
        <v>45952</v>
      </c>
      <c r="D11" t="inlineStr">
        <is>
          <t>VÄSTERBOTTENS LÄN</t>
        </is>
      </c>
      <c r="E11" t="inlineStr">
        <is>
          <t>LYCKSELE</t>
        </is>
      </c>
      <c r="F11" t="inlineStr">
        <is>
          <t>Holmen skog AB</t>
        </is>
      </c>
      <c r="G11" t="n">
        <v>25.4</v>
      </c>
      <c r="H11" t="n">
        <v>4</v>
      </c>
      <c r="I11" t="n">
        <v>3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13</v>
      </c>
      <c r="R11" s="2" t="inlineStr">
        <is>
          <t>Knärot
Garnlav
Granticka
Harticka
Lunglav
Skrovellav
Talltita
Violmussling
Bårdlav
Luddlav
Stuplav
Fläcknycklar
Revlummer</t>
        </is>
      </c>
      <c r="S11">
        <f>HYPERLINK("https://klasma.github.io/Logging_2481/artfynd/A 37406-2025 artfynd.xlsx", "A 37406-2025")</f>
        <v/>
      </c>
      <c r="T11">
        <f>HYPERLINK("https://klasma.github.io/Logging_2481/kartor/A 37406-2025 karta.png", "A 37406-2025")</f>
        <v/>
      </c>
      <c r="U11">
        <f>HYPERLINK("https://klasma.github.io/Logging_2481/knärot/A 37406-2025 karta knärot.png", "A 37406-2025")</f>
        <v/>
      </c>
      <c r="V11">
        <f>HYPERLINK("https://klasma.github.io/Logging_2481/klagomål/A 37406-2025 FSC-klagomål.docx", "A 37406-2025")</f>
        <v/>
      </c>
      <c r="W11">
        <f>HYPERLINK("https://klasma.github.io/Logging_2481/klagomålsmail/A 37406-2025 FSC-klagomål mail.docx", "A 37406-2025")</f>
        <v/>
      </c>
      <c r="X11">
        <f>HYPERLINK("https://klasma.github.io/Logging_2481/tillsyn/A 37406-2025 tillsynsbegäran.docx", "A 37406-2025")</f>
        <v/>
      </c>
      <c r="Y11">
        <f>HYPERLINK("https://klasma.github.io/Logging_2481/tillsynsmail/A 37406-2025 tillsynsbegäran mail.docx", "A 37406-2025")</f>
        <v/>
      </c>
      <c r="Z11">
        <f>HYPERLINK("https://klasma.github.io/Logging_2481/fåglar/A 37406-2025 prioriterade fågelarter.docx", "A 37406-2025")</f>
        <v/>
      </c>
    </row>
    <row r="12" ht="15" customHeight="1">
      <c r="A12" t="inlineStr">
        <is>
          <t>A 55308-2024</t>
        </is>
      </c>
      <c r="B12" s="1" t="n">
        <v>45621.65283564815</v>
      </c>
      <c r="C12" s="1" t="n">
        <v>45952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6.3</v>
      </c>
      <c r="H12" t="n">
        <v>1</v>
      </c>
      <c r="I12" t="n">
        <v>0</v>
      </c>
      <c r="J12" t="n">
        <v>11</v>
      </c>
      <c r="K12" t="n">
        <v>1</v>
      </c>
      <c r="L12" t="n">
        <v>0</v>
      </c>
      <c r="M12" t="n">
        <v>0</v>
      </c>
      <c r="N12" t="n">
        <v>0</v>
      </c>
      <c r="O12" t="n">
        <v>12</v>
      </c>
      <c r="P12" t="n">
        <v>1</v>
      </c>
      <c r="Q12" t="n">
        <v>12</v>
      </c>
      <c r="R12" s="2" t="inlineStr">
        <is>
          <t>Rynkskinn
Brunpudrad nållav
Gammelgransskål
Garnlav
Granticka
Gultoppig fingersvamp
Motaggsvamp
Spillkråka
Stjärntagging
Ullticka
Vedskivlav
Violmussling</t>
        </is>
      </c>
      <c r="S12">
        <f>HYPERLINK("https://klasma.github.io/Logging_2481/artfynd/A 55308-2024 artfynd.xlsx", "A 55308-2024")</f>
        <v/>
      </c>
      <c r="T12">
        <f>HYPERLINK("https://klasma.github.io/Logging_2481/kartor/A 55308-2024 karta.png", "A 55308-2024")</f>
        <v/>
      </c>
      <c r="V12">
        <f>HYPERLINK("https://klasma.github.io/Logging_2481/klagomål/A 55308-2024 FSC-klagomål.docx", "A 55308-2024")</f>
        <v/>
      </c>
      <c r="W12">
        <f>HYPERLINK("https://klasma.github.io/Logging_2481/klagomålsmail/A 55308-2024 FSC-klagomål mail.docx", "A 55308-2024")</f>
        <v/>
      </c>
      <c r="X12">
        <f>HYPERLINK("https://klasma.github.io/Logging_2481/tillsyn/A 55308-2024 tillsynsbegäran.docx", "A 55308-2024")</f>
        <v/>
      </c>
      <c r="Y12">
        <f>HYPERLINK("https://klasma.github.io/Logging_2481/tillsynsmail/A 55308-2024 tillsynsbegäran mail.docx", "A 55308-2024")</f>
        <v/>
      </c>
      <c r="Z12">
        <f>HYPERLINK("https://klasma.github.io/Logging_2481/fåglar/A 55308-2024 prioriterade fågelarter.docx", "A 55308-2024")</f>
        <v/>
      </c>
    </row>
    <row r="13" ht="15" customHeight="1">
      <c r="A13" t="inlineStr">
        <is>
          <t>A 24512-2025</t>
        </is>
      </c>
      <c r="B13" s="1" t="n">
        <v>45798</v>
      </c>
      <c r="C13" s="1" t="n">
        <v>45952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11.1</v>
      </c>
      <c r="H13" t="n">
        <v>5</v>
      </c>
      <c r="I13" t="n">
        <v>5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11</v>
      </c>
      <c r="R13" s="2" t="inlineStr">
        <is>
          <t>Doftticka
Garnlav
Grantaggsvamp
Granticka
Spillkråka
Dvärgtufs
Norrlandslav
Plattlummer
Spindelblomster
Stuplav
Revlummer</t>
        </is>
      </c>
      <c r="S13">
        <f>HYPERLINK("https://klasma.github.io/Logging_2481/artfynd/A 24512-2025 artfynd.xlsx", "A 24512-2025")</f>
        <v/>
      </c>
      <c r="T13">
        <f>HYPERLINK("https://klasma.github.io/Logging_2481/kartor/A 24512-2025 karta.png", "A 24512-2025")</f>
        <v/>
      </c>
      <c r="V13">
        <f>HYPERLINK("https://klasma.github.io/Logging_2481/klagomål/A 24512-2025 FSC-klagomål.docx", "A 24512-2025")</f>
        <v/>
      </c>
      <c r="W13">
        <f>HYPERLINK("https://klasma.github.io/Logging_2481/klagomålsmail/A 24512-2025 FSC-klagomål mail.docx", "A 24512-2025")</f>
        <v/>
      </c>
      <c r="X13">
        <f>HYPERLINK("https://klasma.github.io/Logging_2481/tillsyn/A 24512-2025 tillsynsbegäran.docx", "A 24512-2025")</f>
        <v/>
      </c>
      <c r="Y13">
        <f>HYPERLINK("https://klasma.github.io/Logging_2481/tillsynsmail/A 24512-2025 tillsynsbegäran mail.docx", "A 24512-2025")</f>
        <v/>
      </c>
      <c r="Z13">
        <f>HYPERLINK("https://klasma.github.io/Logging_2481/fåglar/A 24512-2025 prioriterade fågelarter.docx", "A 24512-2025")</f>
        <v/>
      </c>
    </row>
    <row r="14" ht="15" customHeight="1">
      <c r="A14" t="inlineStr">
        <is>
          <t>A 38157-2023</t>
        </is>
      </c>
      <c r="B14" s="1" t="n">
        <v>45161</v>
      </c>
      <c r="C14" s="1" t="n">
        <v>45952</v>
      </c>
      <c r="D14" t="inlineStr">
        <is>
          <t>VÄSTERBOTTENS LÄN</t>
        </is>
      </c>
      <c r="E14" t="inlineStr">
        <is>
          <t>LYCKSELE</t>
        </is>
      </c>
      <c r="G14" t="n">
        <v>6.4</v>
      </c>
      <c r="H14" t="n">
        <v>4</v>
      </c>
      <c r="I14" t="n">
        <v>1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9</v>
      </c>
      <c r="R14" s="2" t="inlineStr">
        <is>
          <t>Laxporing
Garnlav
Granticka
Spillkråka
Talltita
Tretåig hackspett
Ullticka
Videsparv
Vedticka</t>
        </is>
      </c>
      <c r="S14">
        <f>HYPERLINK("https://klasma.github.io/Logging_2481/artfynd/A 38157-2023 artfynd.xlsx", "A 38157-2023")</f>
        <v/>
      </c>
      <c r="T14">
        <f>HYPERLINK("https://klasma.github.io/Logging_2481/kartor/A 38157-2023 karta.png", "A 38157-2023")</f>
        <v/>
      </c>
      <c r="V14">
        <f>HYPERLINK("https://klasma.github.io/Logging_2481/klagomål/A 38157-2023 FSC-klagomål.docx", "A 38157-2023")</f>
        <v/>
      </c>
      <c r="W14">
        <f>HYPERLINK("https://klasma.github.io/Logging_2481/klagomålsmail/A 38157-2023 FSC-klagomål mail.docx", "A 38157-2023")</f>
        <v/>
      </c>
      <c r="X14">
        <f>HYPERLINK("https://klasma.github.io/Logging_2481/tillsyn/A 38157-2023 tillsynsbegäran.docx", "A 38157-2023")</f>
        <v/>
      </c>
      <c r="Y14">
        <f>HYPERLINK("https://klasma.github.io/Logging_2481/tillsynsmail/A 38157-2023 tillsynsbegäran mail.docx", "A 38157-2023")</f>
        <v/>
      </c>
      <c r="Z14">
        <f>HYPERLINK("https://klasma.github.io/Logging_2481/fåglar/A 38157-2023 prioriterade fågelarter.docx", "A 38157-2023")</f>
        <v/>
      </c>
    </row>
    <row r="15" ht="15" customHeight="1">
      <c r="A15" t="inlineStr">
        <is>
          <t>A 34015-2025</t>
        </is>
      </c>
      <c r="B15" s="1" t="n">
        <v>45845.3308912037</v>
      </c>
      <c r="C15" s="1" t="n">
        <v>45952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10.4</v>
      </c>
      <c r="H15" t="n">
        <v>3</v>
      </c>
      <c r="I15" t="n">
        <v>0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9</v>
      </c>
      <c r="R15" s="2" t="inlineStr">
        <is>
          <t>Gammelgransskål
Garnlav
Kolflarnlav
Motaggsvamp
Tallriska
Tretåig hackspett
Vitgrynig nållav
Huggorm
Revlummer</t>
        </is>
      </c>
      <c r="S15">
        <f>HYPERLINK("https://klasma.github.io/Logging_2481/artfynd/A 34015-2025 artfynd.xlsx", "A 34015-2025")</f>
        <v/>
      </c>
      <c r="T15">
        <f>HYPERLINK("https://klasma.github.io/Logging_2481/kartor/A 34015-2025 karta.png", "A 34015-2025")</f>
        <v/>
      </c>
      <c r="V15">
        <f>HYPERLINK("https://klasma.github.io/Logging_2481/klagomål/A 34015-2025 FSC-klagomål.docx", "A 34015-2025")</f>
        <v/>
      </c>
      <c r="W15">
        <f>HYPERLINK("https://klasma.github.io/Logging_2481/klagomålsmail/A 34015-2025 FSC-klagomål mail.docx", "A 34015-2025")</f>
        <v/>
      </c>
      <c r="X15">
        <f>HYPERLINK("https://klasma.github.io/Logging_2481/tillsyn/A 34015-2025 tillsynsbegäran.docx", "A 34015-2025")</f>
        <v/>
      </c>
      <c r="Y15">
        <f>HYPERLINK("https://klasma.github.io/Logging_2481/tillsynsmail/A 34015-2025 tillsynsbegäran mail.docx", "A 34015-2025")</f>
        <v/>
      </c>
      <c r="Z15">
        <f>HYPERLINK("https://klasma.github.io/Logging_2481/fåglar/A 34015-2025 prioriterade fågelarter.docx", "A 34015-2025")</f>
        <v/>
      </c>
    </row>
    <row r="16" ht="15" customHeight="1">
      <c r="A16" t="inlineStr">
        <is>
          <t>A 9327-2022</t>
        </is>
      </c>
      <c r="B16" s="1" t="n">
        <v>44616</v>
      </c>
      <c r="C16" s="1" t="n">
        <v>45952</v>
      </c>
      <c r="D16" t="inlineStr">
        <is>
          <t>VÄSTERBOTTENS LÄN</t>
        </is>
      </c>
      <c r="E16" t="inlineStr">
        <is>
          <t>LYCKSELE</t>
        </is>
      </c>
      <c r="G16" t="n">
        <v>10.1</v>
      </c>
      <c r="H16" t="n">
        <v>4</v>
      </c>
      <c r="I16" t="n">
        <v>0</v>
      </c>
      <c r="J16" t="n">
        <v>6</v>
      </c>
      <c r="K16" t="n">
        <v>1</v>
      </c>
      <c r="L16" t="n">
        <v>0</v>
      </c>
      <c r="M16" t="n">
        <v>0</v>
      </c>
      <c r="N16" t="n">
        <v>0</v>
      </c>
      <c r="O16" t="n">
        <v>7</v>
      </c>
      <c r="P16" t="n">
        <v>1</v>
      </c>
      <c r="Q16" t="n">
        <v>8</v>
      </c>
      <c r="R16" s="2" t="inlineStr">
        <is>
          <t>Rynkskinn
Garnlav
Granticka
Spillkråka
Talltita
Tretåig hackspett
Ullticka
Fläcknycklar</t>
        </is>
      </c>
      <c r="S16">
        <f>HYPERLINK("https://klasma.github.io/Logging_2481/artfynd/A 9327-2022 artfynd.xlsx", "A 9327-2022")</f>
        <v/>
      </c>
      <c r="T16">
        <f>HYPERLINK("https://klasma.github.io/Logging_2481/kartor/A 9327-2022 karta.png", "A 9327-2022")</f>
        <v/>
      </c>
      <c r="V16">
        <f>HYPERLINK("https://klasma.github.io/Logging_2481/klagomål/A 9327-2022 FSC-klagomål.docx", "A 9327-2022")</f>
        <v/>
      </c>
      <c r="W16">
        <f>HYPERLINK("https://klasma.github.io/Logging_2481/klagomålsmail/A 9327-2022 FSC-klagomål mail.docx", "A 9327-2022")</f>
        <v/>
      </c>
      <c r="X16">
        <f>HYPERLINK("https://klasma.github.io/Logging_2481/tillsyn/A 9327-2022 tillsynsbegäran.docx", "A 9327-2022")</f>
        <v/>
      </c>
      <c r="Y16">
        <f>HYPERLINK("https://klasma.github.io/Logging_2481/tillsynsmail/A 9327-2022 tillsynsbegäran mail.docx", "A 9327-2022")</f>
        <v/>
      </c>
      <c r="Z16">
        <f>HYPERLINK("https://klasma.github.io/Logging_2481/fåglar/A 9327-2022 prioriterade fågelarter.docx", "A 9327-2022")</f>
        <v/>
      </c>
    </row>
    <row r="17" ht="15" customHeight="1">
      <c r="A17" t="inlineStr">
        <is>
          <t>A 63588-2021</t>
        </is>
      </c>
      <c r="B17" s="1" t="n">
        <v>44508.92318287037</v>
      </c>
      <c r="C17" s="1" t="n">
        <v>45952</v>
      </c>
      <c r="D17" t="inlineStr">
        <is>
          <t>VÄSTERBOTTENS LÄN</t>
        </is>
      </c>
      <c r="E17" t="inlineStr">
        <is>
          <t>LYCKSELE</t>
        </is>
      </c>
      <c r="G17" t="n">
        <v>5.8</v>
      </c>
      <c r="H17" t="n">
        <v>0</v>
      </c>
      <c r="I17" t="n">
        <v>1</v>
      </c>
      <c r="J17" t="n">
        <v>7</v>
      </c>
      <c r="K17" t="n">
        <v>0</v>
      </c>
      <c r="L17" t="n">
        <v>0</v>
      </c>
      <c r="M17" t="n">
        <v>0</v>
      </c>
      <c r="N17" t="n">
        <v>0</v>
      </c>
      <c r="O17" t="n">
        <v>7</v>
      </c>
      <c r="P17" t="n">
        <v>0</v>
      </c>
      <c r="Q17" t="n">
        <v>8</v>
      </c>
      <c r="R17" s="2" t="inlineStr">
        <is>
          <t>Blå taggsvamp
Garnlav
Leptoporus mollis
Orange taggsvamp
Rosenticka
Ullticka
Vitgrynig nållav
Dropptaggsvamp</t>
        </is>
      </c>
      <c r="S17">
        <f>HYPERLINK("https://klasma.github.io/Logging_2481/artfynd/A 63588-2021 artfynd.xlsx", "A 63588-2021")</f>
        <v/>
      </c>
      <c r="T17">
        <f>HYPERLINK("https://klasma.github.io/Logging_2481/kartor/A 63588-2021 karta.png", "A 63588-2021")</f>
        <v/>
      </c>
      <c r="V17">
        <f>HYPERLINK("https://klasma.github.io/Logging_2481/klagomål/A 63588-2021 FSC-klagomål.docx", "A 63588-2021")</f>
        <v/>
      </c>
      <c r="W17">
        <f>HYPERLINK("https://klasma.github.io/Logging_2481/klagomålsmail/A 63588-2021 FSC-klagomål mail.docx", "A 63588-2021")</f>
        <v/>
      </c>
      <c r="X17">
        <f>HYPERLINK("https://klasma.github.io/Logging_2481/tillsyn/A 63588-2021 tillsynsbegäran.docx", "A 63588-2021")</f>
        <v/>
      </c>
      <c r="Y17">
        <f>HYPERLINK("https://klasma.github.io/Logging_2481/tillsynsmail/A 63588-2021 tillsynsbegäran mail.docx", "A 63588-2021")</f>
        <v/>
      </c>
    </row>
    <row r="18" ht="15" customHeight="1">
      <c r="A18" t="inlineStr">
        <is>
          <t>A 36650-2023</t>
        </is>
      </c>
      <c r="B18" s="1" t="n">
        <v>45152</v>
      </c>
      <c r="C18" s="1" t="n">
        <v>45952</v>
      </c>
      <c r="D18" t="inlineStr">
        <is>
          <t>VÄSTERBOTTENS LÄN</t>
        </is>
      </c>
      <c r="E18" t="inlineStr">
        <is>
          <t>LYCKSELE</t>
        </is>
      </c>
      <c r="G18" t="n">
        <v>6.8</v>
      </c>
      <c r="H18" t="n">
        <v>2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8</v>
      </c>
      <c r="R18" s="2" t="inlineStr">
        <is>
          <t>Doftskinn
Garnlav
Granticka
Lunglav
Tretåig hackspett
Norrlandslav
Skinnlav
Revlummer</t>
        </is>
      </c>
      <c r="S18">
        <f>HYPERLINK("https://klasma.github.io/Logging_2481/artfynd/A 36650-2023 artfynd.xlsx", "A 36650-2023")</f>
        <v/>
      </c>
      <c r="T18">
        <f>HYPERLINK("https://klasma.github.io/Logging_2481/kartor/A 36650-2023 karta.png", "A 36650-2023")</f>
        <v/>
      </c>
      <c r="V18">
        <f>HYPERLINK("https://klasma.github.io/Logging_2481/klagomål/A 36650-2023 FSC-klagomål.docx", "A 36650-2023")</f>
        <v/>
      </c>
      <c r="W18">
        <f>HYPERLINK("https://klasma.github.io/Logging_2481/klagomålsmail/A 36650-2023 FSC-klagomål mail.docx", "A 36650-2023")</f>
        <v/>
      </c>
      <c r="X18">
        <f>HYPERLINK("https://klasma.github.io/Logging_2481/tillsyn/A 36650-2023 tillsynsbegäran.docx", "A 36650-2023")</f>
        <v/>
      </c>
      <c r="Y18">
        <f>HYPERLINK("https://klasma.github.io/Logging_2481/tillsynsmail/A 36650-2023 tillsynsbegäran mail.docx", "A 36650-2023")</f>
        <v/>
      </c>
      <c r="Z18">
        <f>HYPERLINK("https://klasma.github.io/Logging_2481/fåglar/A 36650-2023 prioriterade fågelarter.docx", "A 36650-2023")</f>
        <v/>
      </c>
    </row>
    <row r="19" ht="15" customHeight="1">
      <c r="A19" t="inlineStr">
        <is>
          <t>A 2110-2025</t>
        </is>
      </c>
      <c r="B19" s="1" t="n">
        <v>45672</v>
      </c>
      <c r="C19" s="1" t="n">
        <v>45952</v>
      </c>
      <c r="D19" t="inlineStr">
        <is>
          <t>VÄSTERBOTTENS LÄN</t>
        </is>
      </c>
      <c r="E19" t="inlineStr">
        <is>
          <t>LYCKSELE</t>
        </is>
      </c>
      <c r="G19" t="n">
        <v>11.6</v>
      </c>
      <c r="H19" t="n">
        <v>0</v>
      </c>
      <c r="I19" t="n">
        <v>1</v>
      </c>
      <c r="J19" t="n">
        <v>7</v>
      </c>
      <c r="K19" t="n">
        <v>0</v>
      </c>
      <c r="L19" t="n">
        <v>0</v>
      </c>
      <c r="M19" t="n">
        <v>0</v>
      </c>
      <c r="N19" t="n">
        <v>0</v>
      </c>
      <c r="O19" t="n">
        <v>7</v>
      </c>
      <c r="P19" t="n">
        <v>0</v>
      </c>
      <c r="Q19" t="n">
        <v>8</v>
      </c>
      <c r="R19" s="2" t="inlineStr">
        <is>
          <t>Brunpudrad nållav
Gammelgransskål
Garnlav
Granticka
Knottrig blåslav
Lunglav
Rödbrun blekspik
Trådticka</t>
        </is>
      </c>
      <c r="S19">
        <f>HYPERLINK("https://klasma.github.io/Logging_2481/artfynd/A 2110-2025 artfynd.xlsx", "A 2110-2025")</f>
        <v/>
      </c>
      <c r="T19">
        <f>HYPERLINK("https://klasma.github.io/Logging_2481/kartor/A 2110-2025 karta.png", "A 2110-2025")</f>
        <v/>
      </c>
      <c r="V19">
        <f>HYPERLINK("https://klasma.github.io/Logging_2481/klagomål/A 2110-2025 FSC-klagomål.docx", "A 2110-2025")</f>
        <v/>
      </c>
      <c r="W19">
        <f>HYPERLINK("https://klasma.github.io/Logging_2481/klagomålsmail/A 2110-2025 FSC-klagomål mail.docx", "A 2110-2025")</f>
        <v/>
      </c>
      <c r="X19">
        <f>HYPERLINK("https://klasma.github.io/Logging_2481/tillsyn/A 2110-2025 tillsynsbegäran.docx", "A 2110-2025")</f>
        <v/>
      </c>
      <c r="Y19">
        <f>HYPERLINK("https://klasma.github.io/Logging_2481/tillsynsmail/A 2110-2025 tillsynsbegäran mail.docx", "A 2110-2025")</f>
        <v/>
      </c>
    </row>
    <row r="20" ht="15" customHeight="1">
      <c r="A20" t="inlineStr">
        <is>
          <t>A 40101-2022</t>
        </is>
      </c>
      <c r="B20" s="1" t="n">
        <v>44820</v>
      </c>
      <c r="C20" s="1" t="n">
        <v>45952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28.5</v>
      </c>
      <c r="H20" t="n">
        <v>0</v>
      </c>
      <c r="I20" t="n">
        <v>1</v>
      </c>
      <c r="J20" t="n">
        <v>5</v>
      </c>
      <c r="K20" t="n">
        <v>1</v>
      </c>
      <c r="L20" t="n">
        <v>0</v>
      </c>
      <c r="M20" t="n">
        <v>0</v>
      </c>
      <c r="N20" t="n">
        <v>0</v>
      </c>
      <c r="O20" t="n">
        <v>6</v>
      </c>
      <c r="P20" t="n">
        <v>1</v>
      </c>
      <c r="Q20" t="n">
        <v>7</v>
      </c>
      <c r="R20" s="2" t="inlineStr">
        <is>
          <t>Gräddporing
Garnlav
Kolflarnlav
Motaggsvamp
Orange taggsvamp
Skrovellav
Skarp dropptaggsvamp</t>
        </is>
      </c>
      <c r="S20">
        <f>HYPERLINK("https://klasma.github.io/Logging_2481/artfynd/A 40101-2022 artfynd.xlsx", "A 40101-2022")</f>
        <v/>
      </c>
      <c r="T20">
        <f>HYPERLINK("https://klasma.github.io/Logging_2481/kartor/A 40101-2022 karta.png", "A 40101-2022")</f>
        <v/>
      </c>
      <c r="V20">
        <f>HYPERLINK("https://klasma.github.io/Logging_2481/klagomål/A 40101-2022 FSC-klagomål.docx", "A 40101-2022")</f>
        <v/>
      </c>
      <c r="W20">
        <f>HYPERLINK("https://klasma.github.io/Logging_2481/klagomålsmail/A 40101-2022 FSC-klagomål mail.docx", "A 40101-2022")</f>
        <v/>
      </c>
      <c r="X20">
        <f>HYPERLINK("https://klasma.github.io/Logging_2481/tillsyn/A 40101-2022 tillsynsbegäran.docx", "A 40101-2022")</f>
        <v/>
      </c>
      <c r="Y20">
        <f>HYPERLINK("https://klasma.github.io/Logging_2481/tillsynsmail/A 40101-2022 tillsynsbegäran mail.docx", "A 40101-2022")</f>
        <v/>
      </c>
    </row>
    <row r="21" ht="15" customHeight="1">
      <c r="A21" t="inlineStr">
        <is>
          <t>A 24811-2024</t>
        </is>
      </c>
      <c r="B21" s="1" t="n">
        <v>45460.95407407408</v>
      </c>
      <c r="C21" s="1" t="n">
        <v>45952</v>
      </c>
      <c r="D21" t="inlineStr">
        <is>
          <t>VÄSTERBOTTENS LÄN</t>
        </is>
      </c>
      <c r="E21" t="inlineStr">
        <is>
          <t>LYCKSELE</t>
        </is>
      </c>
      <c r="F21" t="inlineStr">
        <is>
          <t>SCA</t>
        </is>
      </c>
      <c r="G21" t="n">
        <v>3.8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Smalfotad taggsvamp
Blanksvart spiklav
Nordlig nållav
Skrovlig taggsvamp
Svartvit taggsvamp
Dropptaggsvamp
Mörkhövdad spiklav</t>
        </is>
      </c>
      <c r="S21">
        <f>HYPERLINK("https://klasma.github.io/Logging_2481/artfynd/A 24811-2024 artfynd.xlsx", "A 24811-2024")</f>
        <v/>
      </c>
      <c r="T21">
        <f>HYPERLINK("https://klasma.github.io/Logging_2481/kartor/A 24811-2024 karta.png", "A 24811-2024")</f>
        <v/>
      </c>
      <c r="V21">
        <f>HYPERLINK("https://klasma.github.io/Logging_2481/klagomål/A 24811-2024 FSC-klagomål.docx", "A 24811-2024")</f>
        <v/>
      </c>
      <c r="W21">
        <f>HYPERLINK("https://klasma.github.io/Logging_2481/klagomålsmail/A 24811-2024 FSC-klagomål mail.docx", "A 24811-2024")</f>
        <v/>
      </c>
      <c r="X21">
        <f>HYPERLINK("https://klasma.github.io/Logging_2481/tillsyn/A 24811-2024 tillsynsbegäran.docx", "A 24811-2024")</f>
        <v/>
      </c>
      <c r="Y21">
        <f>HYPERLINK("https://klasma.github.io/Logging_2481/tillsynsmail/A 24811-2024 tillsynsbegäran mail.docx", "A 24811-2024")</f>
        <v/>
      </c>
    </row>
    <row r="22" ht="15" customHeight="1">
      <c r="A22" t="inlineStr">
        <is>
          <t>A 33589-2024</t>
        </is>
      </c>
      <c r="B22" s="1" t="n">
        <v>45520.35296296296</v>
      </c>
      <c r="C22" s="1" t="n">
        <v>45952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3.5</v>
      </c>
      <c r="H22" t="n">
        <v>3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Granticka
Spillkråka
Ullticka
Lavskrika
Revlummer</t>
        </is>
      </c>
      <c r="S22">
        <f>HYPERLINK("https://klasma.github.io/Logging_2481/artfynd/A 33589-2024 artfynd.xlsx", "A 33589-2024")</f>
        <v/>
      </c>
      <c r="T22">
        <f>HYPERLINK("https://klasma.github.io/Logging_2481/kartor/A 33589-2024 karta.png", "A 33589-2024")</f>
        <v/>
      </c>
      <c r="V22">
        <f>HYPERLINK("https://klasma.github.io/Logging_2481/klagomål/A 33589-2024 FSC-klagomål.docx", "A 33589-2024")</f>
        <v/>
      </c>
      <c r="W22">
        <f>HYPERLINK("https://klasma.github.io/Logging_2481/klagomålsmail/A 33589-2024 FSC-klagomål mail.docx", "A 33589-2024")</f>
        <v/>
      </c>
      <c r="X22">
        <f>HYPERLINK("https://klasma.github.io/Logging_2481/tillsyn/A 33589-2024 tillsynsbegäran.docx", "A 33589-2024")</f>
        <v/>
      </c>
      <c r="Y22">
        <f>HYPERLINK("https://klasma.github.io/Logging_2481/tillsynsmail/A 33589-2024 tillsynsbegäran mail.docx", "A 33589-2024")</f>
        <v/>
      </c>
      <c r="Z22">
        <f>HYPERLINK("https://klasma.github.io/Logging_2481/fåglar/A 33589-2024 prioriterade fågelarter.docx", "A 33589-2024")</f>
        <v/>
      </c>
    </row>
    <row r="23" ht="15" customHeight="1">
      <c r="A23" t="inlineStr">
        <is>
          <t>A 32758-2025</t>
        </is>
      </c>
      <c r="B23" s="1" t="n">
        <v>45839.43550925926</v>
      </c>
      <c r="C23" s="1" t="n">
        <v>45952</v>
      </c>
      <c r="D23" t="inlineStr">
        <is>
          <t>VÄSTERBOTTENS LÄN</t>
        </is>
      </c>
      <c r="E23" t="inlineStr">
        <is>
          <t>LYCKSELE</t>
        </is>
      </c>
      <c r="G23" t="n">
        <v>4.5</v>
      </c>
      <c r="H23" t="n">
        <v>4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6</v>
      </c>
      <c r="R23" s="2" t="inlineStr">
        <is>
          <t>Gammelgransskål
Garnlav
Spillkråka
Spindelblomster
Fläcknycklar
Revlummer</t>
        </is>
      </c>
      <c r="S23">
        <f>HYPERLINK("https://klasma.github.io/Logging_2481/artfynd/A 32758-2025 artfynd.xlsx", "A 32758-2025")</f>
        <v/>
      </c>
      <c r="T23">
        <f>HYPERLINK("https://klasma.github.io/Logging_2481/kartor/A 32758-2025 karta.png", "A 32758-2025")</f>
        <v/>
      </c>
      <c r="V23">
        <f>HYPERLINK("https://klasma.github.io/Logging_2481/klagomål/A 32758-2025 FSC-klagomål.docx", "A 32758-2025")</f>
        <v/>
      </c>
      <c r="W23">
        <f>HYPERLINK("https://klasma.github.io/Logging_2481/klagomålsmail/A 32758-2025 FSC-klagomål mail.docx", "A 32758-2025")</f>
        <v/>
      </c>
      <c r="X23">
        <f>HYPERLINK("https://klasma.github.io/Logging_2481/tillsyn/A 32758-2025 tillsynsbegäran.docx", "A 32758-2025")</f>
        <v/>
      </c>
      <c r="Y23">
        <f>HYPERLINK("https://klasma.github.io/Logging_2481/tillsynsmail/A 32758-2025 tillsynsbegäran mail.docx", "A 32758-2025")</f>
        <v/>
      </c>
      <c r="Z23">
        <f>HYPERLINK("https://klasma.github.io/Logging_2481/fåglar/A 32758-2025 prioriterade fågelarter.docx", "A 32758-2025")</f>
        <v/>
      </c>
    </row>
    <row r="24" ht="15" customHeight="1">
      <c r="A24" t="inlineStr">
        <is>
          <t>A 55889-2020</t>
        </is>
      </c>
      <c r="B24" s="1" t="n">
        <v>44132</v>
      </c>
      <c r="C24" s="1" t="n">
        <v>45952</v>
      </c>
      <c r="D24" t="inlineStr">
        <is>
          <t>VÄSTERBOTTENS LÄN</t>
        </is>
      </c>
      <c r="E24" t="inlineStr">
        <is>
          <t>LYCKSELE</t>
        </is>
      </c>
      <c r="F24" t="inlineStr">
        <is>
          <t>Holmen skog AB</t>
        </is>
      </c>
      <c r="G24" t="n">
        <v>11.3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Harticka
Tretåig hackspett
Vitgrynig nållav</t>
        </is>
      </c>
      <c r="S24">
        <f>HYPERLINK("https://klasma.github.io/Logging_2481/artfynd/A 55889-2020 artfynd.xlsx", "A 55889-2020")</f>
        <v/>
      </c>
      <c r="T24">
        <f>HYPERLINK("https://klasma.github.io/Logging_2481/kartor/A 55889-2020 karta.png", "A 55889-2020")</f>
        <v/>
      </c>
      <c r="V24">
        <f>HYPERLINK("https://klasma.github.io/Logging_2481/klagomål/A 55889-2020 FSC-klagomål.docx", "A 55889-2020")</f>
        <v/>
      </c>
      <c r="W24">
        <f>HYPERLINK("https://klasma.github.io/Logging_2481/klagomålsmail/A 55889-2020 FSC-klagomål mail.docx", "A 55889-2020")</f>
        <v/>
      </c>
      <c r="X24">
        <f>HYPERLINK("https://klasma.github.io/Logging_2481/tillsyn/A 55889-2020 tillsynsbegäran.docx", "A 55889-2020")</f>
        <v/>
      </c>
      <c r="Y24">
        <f>HYPERLINK("https://klasma.github.io/Logging_2481/tillsynsmail/A 55889-2020 tillsynsbegäran mail.docx", "A 55889-2020")</f>
        <v/>
      </c>
      <c r="Z24">
        <f>HYPERLINK("https://klasma.github.io/Logging_2481/fåglar/A 55889-2020 prioriterade fågelarter.docx", "A 55889-2020")</f>
        <v/>
      </c>
    </row>
    <row r="25" ht="15" customHeight="1">
      <c r="A25" t="inlineStr">
        <is>
          <t>A 39032-2021</t>
        </is>
      </c>
      <c r="B25" s="1" t="n">
        <v>44412</v>
      </c>
      <c r="C25" s="1" t="n">
        <v>45952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9.300000000000001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Dvärgbägarlav
Skrovlig taggsvamp
Talltaggsvamp
Vaddporing
Dropptaggsvamp</t>
        </is>
      </c>
      <c r="S25">
        <f>HYPERLINK("https://klasma.github.io/Logging_2481/artfynd/A 39032-2021 artfynd.xlsx", "A 39032-2021")</f>
        <v/>
      </c>
      <c r="T25">
        <f>HYPERLINK("https://klasma.github.io/Logging_2481/kartor/A 39032-2021 karta.png", "A 39032-2021")</f>
        <v/>
      </c>
      <c r="V25">
        <f>HYPERLINK("https://klasma.github.io/Logging_2481/klagomål/A 39032-2021 FSC-klagomål.docx", "A 39032-2021")</f>
        <v/>
      </c>
      <c r="W25">
        <f>HYPERLINK("https://klasma.github.io/Logging_2481/klagomålsmail/A 39032-2021 FSC-klagomål mail.docx", "A 39032-2021")</f>
        <v/>
      </c>
      <c r="X25">
        <f>HYPERLINK("https://klasma.github.io/Logging_2481/tillsyn/A 39032-2021 tillsynsbegäran.docx", "A 39032-2021")</f>
        <v/>
      </c>
      <c r="Y25">
        <f>HYPERLINK("https://klasma.github.io/Logging_2481/tillsynsmail/A 39032-2021 tillsynsbegäran mail.docx", "A 39032-2021")</f>
        <v/>
      </c>
    </row>
    <row r="26" ht="15" customHeight="1">
      <c r="A26" t="inlineStr">
        <is>
          <t>A 7976-2022</t>
        </is>
      </c>
      <c r="B26" s="1" t="n">
        <v>44609.3165162037</v>
      </c>
      <c r="C26" s="1" t="n">
        <v>45952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5.4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Lunglav
Mörk kolflarnlav
Skrovellav
Luddlav</t>
        </is>
      </c>
      <c r="S26">
        <f>HYPERLINK("https://klasma.github.io/Logging_2481/artfynd/A 7976-2022 artfynd.xlsx", "A 7976-2022")</f>
        <v/>
      </c>
      <c r="T26">
        <f>HYPERLINK("https://klasma.github.io/Logging_2481/kartor/A 7976-2022 karta.png", "A 7976-2022")</f>
        <v/>
      </c>
      <c r="V26">
        <f>HYPERLINK("https://klasma.github.io/Logging_2481/klagomål/A 7976-2022 FSC-klagomål.docx", "A 7976-2022")</f>
        <v/>
      </c>
      <c r="W26">
        <f>HYPERLINK("https://klasma.github.io/Logging_2481/klagomålsmail/A 7976-2022 FSC-klagomål mail.docx", "A 7976-2022")</f>
        <v/>
      </c>
      <c r="X26">
        <f>HYPERLINK("https://klasma.github.io/Logging_2481/tillsyn/A 7976-2022 tillsynsbegäran.docx", "A 7976-2022")</f>
        <v/>
      </c>
      <c r="Y26">
        <f>HYPERLINK("https://klasma.github.io/Logging_2481/tillsynsmail/A 7976-2022 tillsynsbegäran mail.docx", "A 7976-2022")</f>
        <v/>
      </c>
    </row>
    <row r="27" ht="15" customHeight="1">
      <c r="A27" t="inlineStr">
        <is>
          <t>A 10345-2023</t>
        </is>
      </c>
      <c r="B27" s="1" t="n">
        <v>44980</v>
      </c>
      <c r="C27" s="1" t="n">
        <v>45952</v>
      </c>
      <c r="D27" t="inlineStr">
        <is>
          <t>VÄSTERBOTTENS LÄN</t>
        </is>
      </c>
      <c r="E27" t="inlineStr">
        <is>
          <t>LYCKSELE</t>
        </is>
      </c>
      <c r="G27" t="n">
        <v>2.3</v>
      </c>
      <c r="H27" t="n">
        <v>0</v>
      </c>
      <c r="I27" t="n">
        <v>1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5</v>
      </c>
      <c r="R27" s="2" t="inlineStr">
        <is>
          <t>Blå taggsvamp
Gammelgransskål
Garnlav
Orange taggsvamp
Skarp dropptaggsvamp</t>
        </is>
      </c>
      <c r="S27">
        <f>HYPERLINK("https://klasma.github.io/Logging_2481/artfynd/A 10345-2023 artfynd.xlsx", "A 10345-2023")</f>
        <v/>
      </c>
      <c r="T27">
        <f>HYPERLINK("https://klasma.github.io/Logging_2481/kartor/A 10345-2023 karta.png", "A 10345-2023")</f>
        <v/>
      </c>
      <c r="V27">
        <f>HYPERLINK("https://klasma.github.io/Logging_2481/klagomål/A 10345-2023 FSC-klagomål.docx", "A 10345-2023")</f>
        <v/>
      </c>
      <c r="W27">
        <f>HYPERLINK("https://klasma.github.io/Logging_2481/klagomålsmail/A 10345-2023 FSC-klagomål mail.docx", "A 10345-2023")</f>
        <v/>
      </c>
      <c r="X27">
        <f>HYPERLINK("https://klasma.github.io/Logging_2481/tillsyn/A 10345-2023 tillsynsbegäran.docx", "A 10345-2023")</f>
        <v/>
      </c>
      <c r="Y27">
        <f>HYPERLINK("https://klasma.github.io/Logging_2481/tillsynsmail/A 10345-2023 tillsynsbegäran mail.docx", "A 10345-2023")</f>
        <v/>
      </c>
    </row>
    <row r="28" ht="15" customHeight="1">
      <c r="A28" t="inlineStr">
        <is>
          <t>A 56053-2024</t>
        </is>
      </c>
      <c r="B28" s="1" t="n">
        <v>45624</v>
      </c>
      <c r="C28" s="1" t="n">
        <v>45952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8.1</v>
      </c>
      <c r="H28" t="n">
        <v>0</v>
      </c>
      <c r="I28" t="n">
        <v>2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Granticka
Rosenticka
Vedskivlav
Trådticka
Vedticka</t>
        </is>
      </c>
      <c r="S28">
        <f>HYPERLINK("https://klasma.github.io/Logging_2481/artfynd/A 56053-2024 artfynd.xlsx", "A 56053-2024")</f>
        <v/>
      </c>
      <c r="T28">
        <f>HYPERLINK("https://klasma.github.io/Logging_2481/kartor/A 56053-2024 karta.png", "A 56053-2024")</f>
        <v/>
      </c>
      <c r="V28">
        <f>HYPERLINK("https://klasma.github.io/Logging_2481/klagomål/A 56053-2024 FSC-klagomål.docx", "A 56053-2024")</f>
        <v/>
      </c>
      <c r="W28">
        <f>HYPERLINK("https://klasma.github.io/Logging_2481/klagomålsmail/A 56053-2024 FSC-klagomål mail.docx", "A 56053-2024")</f>
        <v/>
      </c>
      <c r="X28">
        <f>HYPERLINK("https://klasma.github.io/Logging_2481/tillsyn/A 56053-2024 tillsynsbegäran.docx", "A 56053-2024")</f>
        <v/>
      </c>
      <c r="Y28">
        <f>HYPERLINK("https://klasma.github.io/Logging_2481/tillsynsmail/A 56053-2024 tillsynsbegäran mail.docx", "A 56053-2024")</f>
        <v/>
      </c>
    </row>
    <row r="29" ht="15" customHeight="1">
      <c r="A29" t="inlineStr">
        <is>
          <t>A 23310-2025</t>
        </is>
      </c>
      <c r="B29" s="1" t="n">
        <v>45791.60834490741</v>
      </c>
      <c r="C29" s="1" t="n">
        <v>45952</v>
      </c>
      <c r="D29" t="inlineStr">
        <is>
          <t>VÄSTERBOTTENS LÄN</t>
        </is>
      </c>
      <c r="E29" t="inlineStr">
        <is>
          <t>LYCKSELE</t>
        </is>
      </c>
      <c r="F29" t="inlineStr">
        <is>
          <t>Sveaskog</t>
        </is>
      </c>
      <c r="G29" t="n">
        <v>12</v>
      </c>
      <c r="H29" t="n">
        <v>0</v>
      </c>
      <c r="I29" t="n">
        <v>1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5</v>
      </c>
      <c r="R29" s="2" t="inlineStr">
        <is>
          <t>Blå taggsvamp
Kolflarnlav
Mörk kolflarnlav
Orange taggsvamp
Dropptaggsvamp</t>
        </is>
      </c>
      <c r="S29">
        <f>HYPERLINK("https://klasma.github.io/Logging_2481/artfynd/A 23310-2025 artfynd.xlsx", "A 23310-2025")</f>
        <v/>
      </c>
      <c r="T29">
        <f>HYPERLINK("https://klasma.github.io/Logging_2481/kartor/A 23310-2025 karta.png", "A 23310-2025")</f>
        <v/>
      </c>
      <c r="V29">
        <f>HYPERLINK("https://klasma.github.io/Logging_2481/klagomål/A 23310-2025 FSC-klagomål.docx", "A 23310-2025")</f>
        <v/>
      </c>
      <c r="W29">
        <f>HYPERLINK("https://klasma.github.io/Logging_2481/klagomålsmail/A 23310-2025 FSC-klagomål mail.docx", "A 23310-2025")</f>
        <v/>
      </c>
      <c r="X29">
        <f>HYPERLINK("https://klasma.github.io/Logging_2481/tillsyn/A 23310-2025 tillsynsbegäran.docx", "A 23310-2025")</f>
        <v/>
      </c>
      <c r="Y29">
        <f>HYPERLINK("https://klasma.github.io/Logging_2481/tillsynsmail/A 23310-2025 tillsynsbegäran mail.docx", "A 23310-2025")</f>
        <v/>
      </c>
    </row>
    <row r="30" ht="15" customHeight="1">
      <c r="A30" t="inlineStr">
        <is>
          <t>A 56000-2024</t>
        </is>
      </c>
      <c r="B30" s="1" t="n">
        <v>45623.70361111111</v>
      </c>
      <c r="C30" s="1" t="n">
        <v>45952</v>
      </c>
      <c r="D30" t="inlineStr">
        <is>
          <t>VÄSTERBOTTENS LÄN</t>
        </is>
      </c>
      <c r="E30" t="inlineStr">
        <is>
          <t>LYCKSELE</t>
        </is>
      </c>
      <c r="G30" t="n">
        <v>1.4</v>
      </c>
      <c r="H30" t="n">
        <v>1</v>
      </c>
      <c r="I30" t="n">
        <v>2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Garnlav
Rosenticka
Dropptaggsvamp
Norrlandslav
Tjäder</t>
        </is>
      </c>
      <c r="S30">
        <f>HYPERLINK("https://klasma.github.io/Logging_2481/artfynd/A 56000-2024 artfynd.xlsx", "A 56000-2024")</f>
        <v/>
      </c>
      <c r="T30">
        <f>HYPERLINK("https://klasma.github.io/Logging_2481/kartor/A 56000-2024 karta.png", "A 56000-2024")</f>
        <v/>
      </c>
      <c r="V30">
        <f>HYPERLINK("https://klasma.github.io/Logging_2481/klagomål/A 56000-2024 FSC-klagomål.docx", "A 56000-2024")</f>
        <v/>
      </c>
      <c r="W30">
        <f>HYPERLINK("https://klasma.github.io/Logging_2481/klagomålsmail/A 56000-2024 FSC-klagomål mail.docx", "A 56000-2024")</f>
        <v/>
      </c>
      <c r="X30">
        <f>HYPERLINK("https://klasma.github.io/Logging_2481/tillsyn/A 56000-2024 tillsynsbegäran.docx", "A 56000-2024")</f>
        <v/>
      </c>
      <c r="Y30">
        <f>HYPERLINK("https://klasma.github.io/Logging_2481/tillsynsmail/A 56000-2024 tillsynsbegäran mail.docx", "A 56000-2024")</f>
        <v/>
      </c>
      <c r="Z30">
        <f>HYPERLINK("https://klasma.github.io/Logging_2481/fåglar/A 56000-2024 prioriterade fågelarter.docx", "A 56000-2024")</f>
        <v/>
      </c>
    </row>
    <row r="31" ht="15" customHeight="1">
      <c r="A31" t="inlineStr">
        <is>
          <t>A 49806-2025</t>
        </is>
      </c>
      <c r="B31" s="1" t="n">
        <v>45940.41746527778</v>
      </c>
      <c r="C31" s="1" t="n">
        <v>45952</v>
      </c>
      <c r="D31" t="inlineStr">
        <is>
          <t>VÄSTERBOTTENS LÄN</t>
        </is>
      </c>
      <c r="E31" t="inlineStr">
        <is>
          <t>LYCKSELE</t>
        </is>
      </c>
      <c r="F31" t="inlineStr">
        <is>
          <t>Sveaskog</t>
        </is>
      </c>
      <c r="G31" t="n">
        <v>11.9</v>
      </c>
      <c r="H31" t="n">
        <v>0</v>
      </c>
      <c r="I31" t="n">
        <v>1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5</v>
      </c>
      <c r="R31" s="2" t="inlineStr">
        <is>
          <t>Blå taggsvamp
Kolflarnlav
Mörk kolflarnlav
Orange taggsvamp
Skarp dropptaggsvamp</t>
        </is>
      </c>
      <c r="S31">
        <f>HYPERLINK("https://klasma.github.io/Logging_2481/artfynd/A 49806-2025 artfynd.xlsx", "A 49806-2025")</f>
        <v/>
      </c>
      <c r="T31">
        <f>HYPERLINK("https://klasma.github.io/Logging_2481/kartor/A 49806-2025 karta.png", "A 49806-2025")</f>
        <v/>
      </c>
      <c r="V31">
        <f>HYPERLINK("https://klasma.github.io/Logging_2481/klagomål/A 49806-2025 FSC-klagomål.docx", "A 49806-2025")</f>
        <v/>
      </c>
      <c r="W31">
        <f>HYPERLINK("https://klasma.github.io/Logging_2481/klagomålsmail/A 49806-2025 FSC-klagomål mail.docx", "A 49806-2025")</f>
        <v/>
      </c>
      <c r="X31">
        <f>HYPERLINK("https://klasma.github.io/Logging_2481/tillsyn/A 49806-2025 tillsynsbegäran.docx", "A 49806-2025")</f>
        <v/>
      </c>
      <c r="Y31">
        <f>HYPERLINK("https://klasma.github.io/Logging_2481/tillsynsmail/A 49806-2025 tillsynsbegäran mail.docx", "A 49806-2025")</f>
        <v/>
      </c>
    </row>
    <row r="32" ht="15" customHeight="1">
      <c r="A32" t="inlineStr">
        <is>
          <t>A 21509-2025</t>
        </is>
      </c>
      <c r="B32" s="1" t="n">
        <v>45782.62307870371</v>
      </c>
      <c r="C32" s="1" t="n">
        <v>45952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13.3</v>
      </c>
      <c r="H32" t="n">
        <v>0</v>
      </c>
      <c r="I32" t="n">
        <v>1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5</v>
      </c>
      <c r="R32" s="2" t="inlineStr">
        <is>
          <t>Blå taggsvamp
Kolflarnlav
Mörk kolflarnlav
Orange taggsvamp
Skarp dropptaggsvamp</t>
        </is>
      </c>
      <c r="S32">
        <f>HYPERLINK("https://klasma.github.io/Logging_2481/artfynd/A 21509-2025 artfynd.xlsx", "A 21509-2025")</f>
        <v/>
      </c>
      <c r="T32">
        <f>HYPERLINK("https://klasma.github.io/Logging_2481/kartor/A 21509-2025 karta.png", "A 21509-2025")</f>
        <v/>
      </c>
      <c r="V32">
        <f>HYPERLINK("https://klasma.github.io/Logging_2481/klagomål/A 21509-2025 FSC-klagomål.docx", "A 21509-2025")</f>
        <v/>
      </c>
      <c r="W32">
        <f>HYPERLINK("https://klasma.github.io/Logging_2481/klagomålsmail/A 21509-2025 FSC-klagomål mail.docx", "A 21509-2025")</f>
        <v/>
      </c>
      <c r="X32">
        <f>HYPERLINK("https://klasma.github.io/Logging_2481/tillsyn/A 21509-2025 tillsynsbegäran.docx", "A 21509-2025")</f>
        <v/>
      </c>
      <c r="Y32">
        <f>HYPERLINK("https://klasma.github.io/Logging_2481/tillsynsmail/A 21509-2025 tillsynsbegäran mail.docx", "A 21509-2025")</f>
        <v/>
      </c>
    </row>
    <row r="33" ht="15" customHeight="1">
      <c r="A33" t="inlineStr">
        <is>
          <t>A 35215-2025</t>
        </is>
      </c>
      <c r="B33" s="1" t="n">
        <v>45853.48318287037</v>
      </c>
      <c r="C33" s="1" t="n">
        <v>45952</v>
      </c>
      <c r="D33" t="inlineStr">
        <is>
          <t>VÄSTERBOTTENS LÄN</t>
        </is>
      </c>
      <c r="E33" t="inlineStr">
        <is>
          <t>LYCKSELE</t>
        </is>
      </c>
      <c r="F33" t="inlineStr">
        <is>
          <t>Sveaskog</t>
        </is>
      </c>
      <c r="G33" t="n">
        <v>18.7</v>
      </c>
      <c r="H33" t="n">
        <v>0</v>
      </c>
      <c r="I33" t="n">
        <v>3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5</v>
      </c>
      <c r="R33" s="2" t="inlineStr">
        <is>
          <t>Gammelgransskål
Kolflarnlav
Dropptaggsvamp
Grönpyrola
Stuplav</t>
        </is>
      </c>
      <c r="S33">
        <f>HYPERLINK("https://klasma.github.io/Logging_2481/artfynd/A 35215-2025 artfynd.xlsx", "A 35215-2025")</f>
        <v/>
      </c>
      <c r="T33">
        <f>HYPERLINK("https://klasma.github.io/Logging_2481/kartor/A 35215-2025 karta.png", "A 35215-2025")</f>
        <v/>
      </c>
      <c r="V33">
        <f>HYPERLINK("https://klasma.github.io/Logging_2481/klagomål/A 35215-2025 FSC-klagomål.docx", "A 35215-2025")</f>
        <v/>
      </c>
      <c r="W33">
        <f>HYPERLINK("https://klasma.github.io/Logging_2481/klagomålsmail/A 35215-2025 FSC-klagomål mail.docx", "A 35215-2025")</f>
        <v/>
      </c>
      <c r="X33">
        <f>HYPERLINK("https://klasma.github.io/Logging_2481/tillsyn/A 35215-2025 tillsynsbegäran.docx", "A 35215-2025")</f>
        <v/>
      </c>
      <c r="Y33">
        <f>HYPERLINK("https://klasma.github.io/Logging_2481/tillsynsmail/A 35215-2025 tillsynsbegäran mail.docx", "A 35215-2025")</f>
        <v/>
      </c>
    </row>
    <row r="34" ht="15" customHeight="1">
      <c r="A34" t="inlineStr">
        <is>
          <t>A 43740-2021</t>
        </is>
      </c>
      <c r="B34" s="1" t="n">
        <v>44433</v>
      </c>
      <c r="C34" s="1" t="n">
        <v>45952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16.2</v>
      </c>
      <c r="H34" t="n">
        <v>0</v>
      </c>
      <c r="I34" t="n">
        <v>1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4</v>
      </c>
      <c r="R34" s="2" t="inlineStr">
        <is>
          <t>Garnlav
Kolflarnlav
Lunglav
Bårdlav</t>
        </is>
      </c>
      <c r="S34">
        <f>HYPERLINK("https://klasma.github.io/Logging_2481/artfynd/A 43740-2021 artfynd.xlsx", "A 43740-2021")</f>
        <v/>
      </c>
      <c r="T34">
        <f>HYPERLINK("https://klasma.github.io/Logging_2481/kartor/A 43740-2021 karta.png", "A 43740-2021")</f>
        <v/>
      </c>
      <c r="V34">
        <f>HYPERLINK("https://klasma.github.io/Logging_2481/klagomål/A 43740-2021 FSC-klagomål.docx", "A 43740-2021")</f>
        <v/>
      </c>
      <c r="W34">
        <f>HYPERLINK("https://klasma.github.io/Logging_2481/klagomålsmail/A 43740-2021 FSC-klagomål mail.docx", "A 43740-2021")</f>
        <v/>
      </c>
      <c r="X34">
        <f>HYPERLINK("https://klasma.github.io/Logging_2481/tillsyn/A 43740-2021 tillsynsbegäran.docx", "A 43740-2021")</f>
        <v/>
      </c>
      <c r="Y34">
        <f>HYPERLINK("https://klasma.github.io/Logging_2481/tillsynsmail/A 43740-2021 tillsynsbegäran mail.docx", "A 43740-2021")</f>
        <v/>
      </c>
    </row>
    <row r="35" ht="15" customHeight="1">
      <c r="A35" t="inlineStr">
        <is>
          <t>A 28993-2022</t>
        </is>
      </c>
      <c r="B35" s="1" t="n">
        <v>44749</v>
      </c>
      <c r="C35" s="1" t="n">
        <v>45952</v>
      </c>
      <c r="D35" t="inlineStr">
        <is>
          <t>VÄSTERBOTTENS LÄN</t>
        </is>
      </c>
      <c r="E35" t="inlineStr">
        <is>
          <t>LYCKSELE</t>
        </is>
      </c>
      <c r="F35" t="inlineStr">
        <is>
          <t>Holmen skog AB</t>
        </is>
      </c>
      <c r="G35" t="n">
        <v>6.9</v>
      </c>
      <c r="H35" t="n">
        <v>1</v>
      </c>
      <c r="I35" t="n">
        <v>0</v>
      </c>
      <c r="J35" t="n">
        <v>4</v>
      </c>
      <c r="K35" t="n">
        <v>0</v>
      </c>
      <c r="L35" t="n">
        <v>0</v>
      </c>
      <c r="M35" t="n">
        <v>0</v>
      </c>
      <c r="N35" t="n">
        <v>0</v>
      </c>
      <c r="O35" t="n">
        <v>4</v>
      </c>
      <c r="P35" t="n">
        <v>0</v>
      </c>
      <c r="Q35" t="n">
        <v>4</v>
      </c>
      <c r="R35" s="2" t="inlineStr">
        <is>
          <t>Garnlav
Granticka
Tretåig hackspett
Ullticka</t>
        </is>
      </c>
      <c r="S35">
        <f>HYPERLINK("https://klasma.github.io/Logging_2481/artfynd/A 28993-2022 artfynd.xlsx", "A 28993-2022")</f>
        <v/>
      </c>
      <c r="T35">
        <f>HYPERLINK("https://klasma.github.io/Logging_2481/kartor/A 28993-2022 karta.png", "A 28993-2022")</f>
        <v/>
      </c>
      <c r="V35">
        <f>HYPERLINK("https://klasma.github.io/Logging_2481/klagomål/A 28993-2022 FSC-klagomål.docx", "A 28993-2022")</f>
        <v/>
      </c>
      <c r="W35">
        <f>HYPERLINK("https://klasma.github.io/Logging_2481/klagomålsmail/A 28993-2022 FSC-klagomål mail.docx", "A 28993-2022")</f>
        <v/>
      </c>
      <c r="X35">
        <f>HYPERLINK("https://klasma.github.io/Logging_2481/tillsyn/A 28993-2022 tillsynsbegäran.docx", "A 28993-2022")</f>
        <v/>
      </c>
      <c r="Y35">
        <f>HYPERLINK("https://klasma.github.io/Logging_2481/tillsynsmail/A 28993-2022 tillsynsbegäran mail.docx", "A 28993-2022")</f>
        <v/>
      </c>
      <c r="Z35">
        <f>HYPERLINK("https://klasma.github.io/Logging_2481/fåglar/A 28993-2022 prioriterade fågelarter.docx", "A 28993-2022")</f>
        <v/>
      </c>
    </row>
    <row r="36" ht="15" customHeight="1">
      <c r="A36" t="inlineStr">
        <is>
          <t>A 47977-2024</t>
        </is>
      </c>
      <c r="B36" s="1" t="n">
        <v>45589</v>
      </c>
      <c r="C36" s="1" t="n">
        <v>45952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3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Blå taggsvamp
Kolflarnlav
Orange taggsvamp
Skrovlig taggsvamp</t>
        </is>
      </c>
      <c r="S36">
        <f>HYPERLINK("https://klasma.github.io/Logging_2481/artfynd/A 47977-2024 artfynd.xlsx", "A 47977-2024")</f>
        <v/>
      </c>
      <c r="T36">
        <f>HYPERLINK("https://klasma.github.io/Logging_2481/kartor/A 47977-2024 karta.png", "A 47977-2024")</f>
        <v/>
      </c>
      <c r="V36">
        <f>HYPERLINK("https://klasma.github.io/Logging_2481/klagomål/A 47977-2024 FSC-klagomål.docx", "A 47977-2024")</f>
        <v/>
      </c>
      <c r="W36">
        <f>HYPERLINK("https://klasma.github.io/Logging_2481/klagomålsmail/A 47977-2024 FSC-klagomål mail.docx", "A 47977-2024")</f>
        <v/>
      </c>
      <c r="X36">
        <f>HYPERLINK("https://klasma.github.io/Logging_2481/tillsyn/A 47977-2024 tillsynsbegäran.docx", "A 47977-2024")</f>
        <v/>
      </c>
      <c r="Y36">
        <f>HYPERLINK("https://klasma.github.io/Logging_2481/tillsynsmail/A 47977-2024 tillsynsbegäran mail.docx", "A 47977-2024")</f>
        <v/>
      </c>
    </row>
    <row r="37" ht="15" customHeight="1">
      <c r="A37" t="inlineStr">
        <is>
          <t>A 54905-2024</t>
        </is>
      </c>
      <c r="B37" s="1" t="n">
        <v>45618.66777777778</v>
      </c>
      <c r="C37" s="1" t="n">
        <v>45952</v>
      </c>
      <c r="D37" t="inlineStr">
        <is>
          <t>VÄSTERBOTTENS LÄN</t>
        </is>
      </c>
      <c r="E37" t="inlineStr">
        <is>
          <t>LYCKSELE</t>
        </is>
      </c>
      <c r="F37" t="inlineStr">
        <is>
          <t>Sveaskog</t>
        </is>
      </c>
      <c r="G37" t="n">
        <v>2.2</v>
      </c>
      <c r="H37" t="n">
        <v>0</v>
      </c>
      <c r="I37" t="n">
        <v>1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4</v>
      </c>
      <c r="R37" s="2" t="inlineStr">
        <is>
          <t>Fläckporing
Garnlav
Kolflarnlav
Dropptaggsvamp</t>
        </is>
      </c>
      <c r="S37">
        <f>HYPERLINK("https://klasma.github.io/Logging_2481/artfynd/A 54905-2024 artfynd.xlsx", "A 54905-2024")</f>
        <v/>
      </c>
      <c r="T37">
        <f>HYPERLINK("https://klasma.github.io/Logging_2481/kartor/A 54905-2024 karta.png", "A 54905-2024")</f>
        <v/>
      </c>
      <c r="V37">
        <f>HYPERLINK("https://klasma.github.io/Logging_2481/klagomål/A 54905-2024 FSC-klagomål.docx", "A 54905-2024")</f>
        <v/>
      </c>
      <c r="W37">
        <f>HYPERLINK("https://klasma.github.io/Logging_2481/klagomålsmail/A 54905-2024 FSC-klagomål mail.docx", "A 54905-2024")</f>
        <v/>
      </c>
      <c r="X37">
        <f>HYPERLINK("https://klasma.github.io/Logging_2481/tillsyn/A 54905-2024 tillsynsbegäran.docx", "A 54905-2024")</f>
        <v/>
      </c>
      <c r="Y37">
        <f>HYPERLINK("https://klasma.github.io/Logging_2481/tillsynsmail/A 54905-2024 tillsynsbegäran mail.docx", "A 54905-2024")</f>
        <v/>
      </c>
    </row>
    <row r="38" ht="15" customHeight="1">
      <c r="A38" t="inlineStr">
        <is>
          <t>A 39528-2025</t>
        </is>
      </c>
      <c r="B38" s="1" t="n">
        <v>45890.44530092592</v>
      </c>
      <c r="C38" s="1" t="n">
        <v>45952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24.9</v>
      </c>
      <c r="H38" t="n">
        <v>0</v>
      </c>
      <c r="I38" t="n">
        <v>1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4</v>
      </c>
      <c r="R38" s="2" t="inlineStr">
        <is>
          <t>Kolflarnlav
Lunglav
Mörk kolflarnlav
Dropptaggsvamp</t>
        </is>
      </c>
      <c r="S38">
        <f>HYPERLINK("https://klasma.github.io/Logging_2481/artfynd/A 39528-2025 artfynd.xlsx", "A 39528-2025")</f>
        <v/>
      </c>
      <c r="T38">
        <f>HYPERLINK("https://klasma.github.io/Logging_2481/kartor/A 39528-2025 karta.png", "A 39528-2025")</f>
        <v/>
      </c>
      <c r="V38">
        <f>HYPERLINK("https://klasma.github.io/Logging_2481/klagomål/A 39528-2025 FSC-klagomål.docx", "A 39528-2025")</f>
        <v/>
      </c>
      <c r="W38">
        <f>HYPERLINK("https://klasma.github.io/Logging_2481/klagomålsmail/A 39528-2025 FSC-klagomål mail.docx", "A 39528-2025")</f>
        <v/>
      </c>
      <c r="X38">
        <f>HYPERLINK("https://klasma.github.io/Logging_2481/tillsyn/A 39528-2025 tillsynsbegäran.docx", "A 39528-2025")</f>
        <v/>
      </c>
      <c r="Y38">
        <f>HYPERLINK("https://klasma.github.io/Logging_2481/tillsynsmail/A 39528-2025 tillsynsbegäran mail.docx", "A 39528-2025")</f>
        <v/>
      </c>
    </row>
    <row r="39" ht="15" customHeight="1">
      <c r="A39" t="inlineStr">
        <is>
          <t>A 49802-2025</t>
        </is>
      </c>
      <c r="B39" s="1" t="n">
        <v>45940.41297453704</v>
      </c>
      <c r="C39" s="1" t="n">
        <v>45952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20.9</v>
      </c>
      <c r="H39" t="n">
        <v>1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Kolflarnlav
Mörk kolflarnlav
Orange taggsvamp
Plattlummer</t>
        </is>
      </c>
      <c r="S39">
        <f>HYPERLINK("https://klasma.github.io/Logging_2481/artfynd/A 49802-2025 artfynd.xlsx", "A 49802-2025")</f>
        <v/>
      </c>
      <c r="T39">
        <f>HYPERLINK("https://klasma.github.io/Logging_2481/kartor/A 49802-2025 karta.png", "A 49802-2025")</f>
        <v/>
      </c>
      <c r="V39">
        <f>HYPERLINK("https://klasma.github.io/Logging_2481/klagomål/A 49802-2025 FSC-klagomål.docx", "A 49802-2025")</f>
        <v/>
      </c>
      <c r="W39">
        <f>HYPERLINK("https://klasma.github.io/Logging_2481/klagomålsmail/A 49802-2025 FSC-klagomål mail.docx", "A 49802-2025")</f>
        <v/>
      </c>
      <c r="X39">
        <f>HYPERLINK("https://klasma.github.io/Logging_2481/tillsyn/A 49802-2025 tillsynsbegäran.docx", "A 49802-2025")</f>
        <v/>
      </c>
      <c r="Y39">
        <f>HYPERLINK("https://klasma.github.io/Logging_2481/tillsynsmail/A 49802-2025 tillsynsbegäran mail.docx", "A 49802-2025")</f>
        <v/>
      </c>
    </row>
    <row r="40" ht="15" customHeight="1">
      <c r="A40" t="inlineStr">
        <is>
          <t>A 49793-2025</t>
        </is>
      </c>
      <c r="B40" s="1" t="n">
        <v>45940.40770833333</v>
      </c>
      <c r="C40" s="1" t="n">
        <v>45952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19.8</v>
      </c>
      <c r="H40" t="n">
        <v>0</v>
      </c>
      <c r="I40" t="n">
        <v>0</v>
      </c>
      <c r="J40" t="n">
        <v>4</v>
      </c>
      <c r="K40" t="n">
        <v>0</v>
      </c>
      <c r="L40" t="n">
        <v>0</v>
      </c>
      <c r="M40" t="n">
        <v>0</v>
      </c>
      <c r="N40" t="n">
        <v>0</v>
      </c>
      <c r="O40" t="n">
        <v>4</v>
      </c>
      <c r="P40" t="n">
        <v>0</v>
      </c>
      <c r="Q40" t="n">
        <v>4</v>
      </c>
      <c r="R40" s="2" t="inlineStr">
        <is>
          <t>Blå taggsvamp
Kolflarnlav
Mörk kolflarnlav
Orange taggsvamp</t>
        </is>
      </c>
      <c r="S40">
        <f>HYPERLINK("https://klasma.github.io/Logging_2481/artfynd/A 49793-2025 artfynd.xlsx", "A 49793-2025")</f>
        <v/>
      </c>
      <c r="T40">
        <f>HYPERLINK("https://klasma.github.io/Logging_2481/kartor/A 49793-2025 karta.png", "A 49793-2025")</f>
        <v/>
      </c>
      <c r="V40">
        <f>HYPERLINK("https://klasma.github.io/Logging_2481/klagomål/A 49793-2025 FSC-klagomål.docx", "A 49793-2025")</f>
        <v/>
      </c>
      <c r="W40">
        <f>HYPERLINK("https://klasma.github.io/Logging_2481/klagomålsmail/A 49793-2025 FSC-klagomål mail.docx", "A 49793-2025")</f>
        <v/>
      </c>
      <c r="X40">
        <f>HYPERLINK("https://klasma.github.io/Logging_2481/tillsyn/A 49793-2025 tillsynsbegäran.docx", "A 49793-2025")</f>
        <v/>
      </c>
      <c r="Y40">
        <f>HYPERLINK("https://klasma.github.io/Logging_2481/tillsynsmail/A 49793-2025 tillsynsbegäran mail.docx", "A 49793-2025")</f>
        <v/>
      </c>
    </row>
    <row r="41" ht="15" customHeight="1">
      <c r="A41" t="inlineStr">
        <is>
          <t>A 49808-2025</t>
        </is>
      </c>
      <c r="B41" s="1" t="n">
        <v>45940.42079861111</v>
      </c>
      <c r="C41" s="1" t="n">
        <v>45952</v>
      </c>
      <c r="D41" t="inlineStr">
        <is>
          <t>VÄSTERBOTTENS LÄN</t>
        </is>
      </c>
      <c r="E41" t="inlineStr">
        <is>
          <t>LYCKSELE</t>
        </is>
      </c>
      <c r="F41" t="inlineStr">
        <is>
          <t>Sveaskog</t>
        </is>
      </c>
      <c r="G41" t="n">
        <v>11.8</v>
      </c>
      <c r="H41" t="n">
        <v>0</v>
      </c>
      <c r="I41" t="n">
        <v>0</v>
      </c>
      <c r="J41" t="n">
        <v>4</v>
      </c>
      <c r="K41" t="n">
        <v>0</v>
      </c>
      <c r="L41" t="n">
        <v>0</v>
      </c>
      <c r="M41" t="n">
        <v>0</v>
      </c>
      <c r="N41" t="n">
        <v>0</v>
      </c>
      <c r="O41" t="n">
        <v>4</v>
      </c>
      <c r="P41" t="n">
        <v>0</v>
      </c>
      <c r="Q41" t="n">
        <v>4</v>
      </c>
      <c r="R41" s="2" t="inlineStr">
        <is>
          <t>Blå taggsvamp
Kolflarnlav
Mörk kolflarnlav
Orange taggsvamp</t>
        </is>
      </c>
      <c r="S41">
        <f>HYPERLINK("https://klasma.github.io/Logging_2481/artfynd/A 49808-2025 artfynd.xlsx", "A 49808-2025")</f>
        <v/>
      </c>
      <c r="T41">
        <f>HYPERLINK("https://klasma.github.io/Logging_2481/kartor/A 49808-2025 karta.png", "A 49808-2025")</f>
        <v/>
      </c>
      <c r="V41">
        <f>HYPERLINK("https://klasma.github.io/Logging_2481/klagomål/A 49808-2025 FSC-klagomål.docx", "A 49808-2025")</f>
        <v/>
      </c>
      <c r="W41">
        <f>HYPERLINK("https://klasma.github.io/Logging_2481/klagomålsmail/A 49808-2025 FSC-klagomål mail.docx", "A 49808-2025")</f>
        <v/>
      </c>
      <c r="X41">
        <f>HYPERLINK("https://klasma.github.io/Logging_2481/tillsyn/A 49808-2025 tillsynsbegäran.docx", "A 49808-2025")</f>
        <v/>
      </c>
      <c r="Y41">
        <f>HYPERLINK("https://klasma.github.io/Logging_2481/tillsynsmail/A 49808-2025 tillsynsbegäran mail.docx", "A 49808-2025")</f>
        <v/>
      </c>
    </row>
    <row r="42" ht="15" customHeight="1">
      <c r="A42" t="inlineStr">
        <is>
          <t>A 27068-2025</t>
        </is>
      </c>
      <c r="B42" s="1" t="n">
        <v>45811.63672453703</v>
      </c>
      <c r="C42" s="1" t="n">
        <v>45952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3.3</v>
      </c>
      <c r="H42" t="n">
        <v>0</v>
      </c>
      <c r="I42" t="n">
        <v>1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4</v>
      </c>
      <c r="R42" s="2" t="inlineStr">
        <is>
          <t>Blå taggsvamp
Kolflarnlav
Motaggsvamp
Dropptaggsvamp</t>
        </is>
      </c>
      <c r="S42">
        <f>HYPERLINK("https://klasma.github.io/Logging_2481/artfynd/A 27068-2025 artfynd.xlsx", "A 27068-2025")</f>
        <v/>
      </c>
      <c r="T42">
        <f>HYPERLINK("https://klasma.github.io/Logging_2481/kartor/A 27068-2025 karta.png", "A 27068-2025")</f>
        <v/>
      </c>
      <c r="V42">
        <f>HYPERLINK("https://klasma.github.io/Logging_2481/klagomål/A 27068-2025 FSC-klagomål.docx", "A 27068-2025")</f>
        <v/>
      </c>
      <c r="W42">
        <f>HYPERLINK("https://klasma.github.io/Logging_2481/klagomålsmail/A 27068-2025 FSC-klagomål mail.docx", "A 27068-2025")</f>
        <v/>
      </c>
      <c r="X42">
        <f>HYPERLINK("https://klasma.github.io/Logging_2481/tillsyn/A 27068-2025 tillsynsbegäran.docx", "A 27068-2025")</f>
        <v/>
      </c>
      <c r="Y42">
        <f>HYPERLINK("https://klasma.github.io/Logging_2481/tillsynsmail/A 27068-2025 tillsynsbegäran mail.docx", "A 27068-2025")</f>
        <v/>
      </c>
    </row>
    <row r="43" ht="15" customHeight="1">
      <c r="A43" t="inlineStr">
        <is>
          <t>A 30414-2025</t>
        </is>
      </c>
      <c r="B43" s="1" t="n">
        <v>45827.604375</v>
      </c>
      <c r="C43" s="1" t="n">
        <v>45952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17</v>
      </c>
      <c r="H43" t="n">
        <v>0</v>
      </c>
      <c r="I43" t="n">
        <v>2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4</v>
      </c>
      <c r="R43" s="2" t="inlineStr">
        <is>
          <t>Lunglav
Skrovellav
Skinnlav
Stor aspticka</t>
        </is>
      </c>
      <c r="S43">
        <f>HYPERLINK("https://klasma.github.io/Logging_2481/artfynd/A 30414-2025 artfynd.xlsx", "A 30414-2025")</f>
        <v/>
      </c>
      <c r="T43">
        <f>HYPERLINK("https://klasma.github.io/Logging_2481/kartor/A 30414-2025 karta.png", "A 30414-2025")</f>
        <v/>
      </c>
      <c r="V43">
        <f>HYPERLINK("https://klasma.github.io/Logging_2481/klagomål/A 30414-2025 FSC-klagomål.docx", "A 30414-2025")</f>
        <v/>
      </c>
      <c r="W43">
        <f>HYPERLINK("https://klasma.github.io/Logging_2481/klagomålsmail/A 30414-2025 FSC-klagomål mail.docx", "A 30414-2025")</f>
        <v/>
      </c>
      <c r="X43">
        <f>HYPERLINK("https://klasma.github.io/Logging_2481/tillsyn/A 30414-2025 tillsynsbegäran.docx", "A 30414-2025")</f>
        <v/>
      </c>
      <c r="Y43">
        <f>HYPERLINK("https://klasma.github.io/Logging_2481/tillsynsmail/A 30414-2025 tillsynsbegäran mail.docx", "A 30414-2025")</f>
        <v/>
      </c>
    </row>
    <row r="44" ht="15" customHeight="1">
      <c r="A44" t="inlineStr">
        <is>
          <t>A 55825-2024</t>
        </is>
      </c>
      <c r="B44" s="1" t="n">
        <v>45623.47923611111</v>
      </c>
      <c r="C44" s="1" t="n">
        <v>45952</v>
      </c>
      <c r="D44" t="inlineStr">
        <is>
          <t>VÄSTERBOTTENS LÄN</t>
        </is>
      </c>
      <c r="E44" t="inlineStr">
        <is>
          <t>LYCKSELE</t>
        </is>
      </c>
      <c r="G44" t="n">
        <v>7.1</v>
      </c>
      <c r="H44" t="n">
        <v>3</v>
      </c>
      <c r="I44" t="n">
        <v>0</v>
      </c>
      <c r="J44" t="n">
        <v>3</v>
      </c>
      <c r="K44" t="n">
        <v>0</v>
      </c>
      <c r="L44" t="n">
        <v>0</v>
      </c>
      <c r="M44" t="n">
        <v>0</v>
      </c>
      <c r="N44" t="n">
        <v>0</v>
      </c>
      <c r="O44" t="n">
        <v>3</v>
      </c>
      <c r="P44" t="n">
        <v>0</v>
      </c>
      <c r="Q44" t="n">
        <v>4</v>
      </c>
      <c r="R44" s="2" t="inlineStr">
        <is>
          <t>Kolflarnlav
Spillkråka
Tretåig hackspett
Revlummer</t>
        </is>
      </c>
      <c r="S44">
        <f>HYPERLINK("https://klasma.github.io/Logging_2481/artfynd/A 55825-2024 artfynd.xlsx", "A 55825-2024")</f>
        <v/>
      </c>
      <c r="T44">
        <f>HYPERLINK("https://klasma.github.io/Logging_2481/kartor/A 55825-2024 karta.png", "A 55825-2024")</f>
        <v/>
      </c>
      <c r="V44">
        <f>HYPERLINK("https://klasma.github.io/Logging_2481/klagomål/A 55825-2024 FSC-klagomål.docx", "A 55825-2024")</f>
        <v/>
      </c>
      <c r="W44">
        <f>HYPERLINK("https://klasma.github.io/Logging_2481/klagomålsmail/A 55825-2024 FSC-klagomål mail.docx", "A 55825-2024")</f>
        <v/>
      </c>
      <c r="X44">
        <f>HYPERLINK("https://klasma.github.io/Logging_2481/tillsyn/A 55825-2024 tillsynsbegäran.docx", "A 55825-2024")</f>
        <v/>
      </c>
      <c r="Y44">
        <f>HYPERLINK("https://klasma.github.io/Logging_2481/tillsynsmail/A 55825-2024 tillsynsbegäran mail.docx", "A 55825-2024")</f>
        <v/>
      </c>
      <c r="Z44">
        <f>HYPERLINK("https://klasma.github.io/Logging_2481/fåglar/A 55825-2024 prioriterade fågelarter.docx", "A 55825-2024")</f>
        <v/>
      </c>
    </row>
    <row r="45" ht="15" customHeight="1">
      <c r="A45" t="inlineStr">
        <is>
          <t>A 33586-2024</t>
        </is>
      </c>
      <c r="B45" s="1" t="n">
        <v>45520.34674768519</v>
      </c>
      <c r="C45" s="1" t="n">
        <v>45952</v>
      </c>
      <c r="D45" t="inlineStr">
        <is>
          <t>VÄSTERBOTTENS LÄN</t>
        </is>
      </c>
      <c r="E45" t="inlineStr">
        <is>
          <t>LYCKSELE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3</v>
      </c>
      <c r="K45" t="n">
        <v>0</v>
      </c>
      <c r="L45" t="n">
        <v>0</v>
      </c>
      <c r="M45" t="n">
        <v>0</v>
      </c>
      <c r="N45" t="n">
        <v>0</v>
      </c>
      <c r="O45" t="n">
        <v>3</v>
      </c>
      <c r="P45" t="n">
        <v>0</v>
      </c>
      <c r="Q45" t="n">
        <v>4</v>
      </c>
      <c r="R45" s="2" t="inlineStr">
        <is>
          <t>Granticka
Mörk kolflarnlav
Ullticka
Luddlav</t>
        </is>
      </c>
      <c r="S45">
        <f>HYPERLINK("https://klasma.github.io/Logging_2481/artfynd/A 33586-2024 artfynd.xlsx", "A 33586-2024")</f>
        <v/>
      </c>
      <c r="T45">
        <f>HYPERLINK("https://klasma.github.io/Logging_2481/kartor/A 33586-2024 karta.png", "A 33586-2024")</f>
        <v/>
      </c>
      <c r="V45">
        <f>HYPERLINK("https://klasma.github.io/Logging_2481/klagomål/A 33586-2024 FSC-klagomål.docx", "A 33586-2024")</f>
        <v/>
      </c>
      <c r="W45">
        <f>HYPERLINK("https://klasma.github.io/Logging_2481/klagomålsmail/A 33586-2024 FSC-klagomål mail.docx", "A 33586-2024")</f>
        <v/>
      </c>
      <c r="X45">
        <f>HYPERLINK("https://klasma.github.io/Logging_2481/tillsyn/A 33586-2024 tillsynsbegäran.docx", "A 33586-2024")</f>
        <v/>
      </c>
      <c r="Y45">
        <f>HYPERLINK("https://klasma.github.io/Logging_2481/tillsynsmail/A 33586-2024 tillsynsbegäran mail.docx", "A 33586-2024")</f>
        <v/>
      </c>
    </row>
    <row r="46" ht="15" customHeight="1">
      <c r="A46" t="inlineStr">
        <is>
          <t>A 52891-2024</t>
        </is>
      </c>
      <c r="B46" s="1" t="n">
        <v>45610.66724537037</v>
      </c>
      <c r="C46" s="1" t="n">
        <v>45952</v>
      </c>
      <c r="D46" t="inlineStr">
        <is>
          <t>VÄSTERBOTTENS LÄN</t>
        </is>
      </c>
      <c r="E46" t="inlineStr">
        <is>
          <t>LYCKSELE</t>
        </is>
      </c>
      <c r="F46" t="inlineStr">
        <is>
          <t>Holmen skog AB</t>
        </is>
      </c>
      <c r="G46" t="n">
        <v>5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Granticka
Lunglav
Bårdlav</t>
        </is>
      </c>
      <c r="S46">
        <f>HYPERLINK("https://klasma.github.io/Logging_2481/artfynd/A 52891-2024 artfynd.xlsx", "A 52891-2024")</f>
        <v/>
      </c>
      <c r="T46">
        <f>HYPERLINK("https://klasma.github.io/Logging_2481/kartor/A 52891-2024 karta.png", "A 52891-2024")</f>
        <v/>
      </c>
      <c r="V46">
        <f>HYPERLINK("https://klasma.github.io/Logging_2481/klagomål/A 52891-2024 FSC-klagomål.docx", "A 52891-2024")</f>
        <v/>
      </c>
      <c r="W46">
        <f>HYPERLINK("https://klasma.github.io/Logging_2481/klagomålsmail/A 52891-2024 FSC-klagomål mail.docx", "A 52891-2024")</f>
        <v/>
      </c>
      <c r="X46">
        <f>HYPERLINK("https://klasma.github.io/Logging_2481/tillsyn/A 52891-2024 tillsynsbegäran.docx", "A 52891-2024")</f>
        <v/>
      </c>
      <c r="Y46">
        <f>HYPERLINK("https://klasma.github.io/Logging_2481/tillsynsmail/A 52891-2024 tillsynsbegäran mail.docx", "A 52891-2024")</f>
        <v/>
      </c>
    </row>
    <row r="47" ht="15" customHeight="1">
      <c r="A47" t="inlineStr">
        <is>
          <t>A 53094-2024</t>
        </is>
      </c>
      <c r="B47" s="1" t="n">
        <v>45611.53018518518</v>
      </c>
      <c r="C47" s="1" t="n">
        <v>45952</v>
      </c>
      <c r="D47" t="inlineStr">
        <is>
          <t>VÄSTERBOTTENS LÄN</t>
        </is>
      </c>
      <c r="E47" t="inlineStr">
        <is>
          <t>LYCKSELE</t>
        </is>
      </c>
      <c r="F47" t="inlineStr">
        <is>
          <t>Sveaskog</t>
        </is>
      </c>
      <c r="G47" t="n">
        <v>5.4</v>
      </c>
      <c r="H47" t="n">
        <v>0</v>
      </c>
      <c r="I47" t="n">
        <v>0</v>
      </c>
      <c r="J47" t="n">
        <v>4</v>
      </c>
      <c r="K47" t="n">
        <v>0</v>
      </c>
      <c r="L47" t="n">
        <v>0</v>
      </c>
      <c r="M47" t="n">
        <v>0</v>
      </c>
      <c r="N47" t="n">
        <v>0</v>
      </c>
      <c r="O47" t="n">
        <v>4</v>
      </c>
      <c r="P47" t="n">
        <v>0</v>
      </c>
      <c r="Q47" t="n">
        <v>4</v>
      </c>
      <c r="R47" s="2" t="inlineStr">
        <is>
          <t>Blå taggsvamp
Kolflarnlav
Lunglav
Motaggsvamp</t>
        </is>
      </c>
      <c r="S47">
        <f>HYPERLINK("https://klasma.github.io/Logging_2481/artfynd/A 53094-2024 artfynd.xlsx", "A 53094-2024")</f>
        <v/>
      </c>
      <c r="T47">
        <f>HYPERLINK("https://klasma.github.io/Logging_2481/kartor/A 53094-2024 karta.png", "A 53094-2024")</f>
        <v/>
      </c>
      <c r="V47">
        <f>HYPERLINK("https://klasma.github.io/Logging_2481/klagomål/A 53094-2024 FSC-klagomål.docx", "A 53094-2024")</f>
        <v/>
      </c>
      <c r="W47">
        <f>HYPERLINK("https://klasma.github.io/Logging_2481/klagomålsmail/A 53094-2024 FSC-klagomål mail.docx", "A 53094-2024")</f>
        <v/>
      </c>
      <c r="X47">
        <f>HYPERLINK("https://klasma.github.io/Logging_2481/tillsyn/A 53094-2024 tillsynsbegäran.docx", "A 53094-2024")</f>
        <v/>
      </c>
      <c r="Y47">
        <f>HYPERLINK("https://klasma.github.io/Logging_2481/tillsynsmail/A 53094-2024 tillsynsbegäran mail.docx", "A 53094-2024")</f>
        <v/>
      </c>
    </row>
    <row r="48" ht="15" customHeight="1">
      <c r="A48" t="inlineStr">
        <is>
          <t>A 61747-2021</t>
        </is>
      </c>
      <c r="B48" s="1" t="n">
        <v>44501</v>
      </c>
      <c r="C48" s="1" t="n">
        <v>45952</v>
      </c>
      <c r="D48" t="inlineStr">
        <is>
          <t>VÄSTERBOTTENS LÄN</t>
        </is>
      </c>
      <c r="E48" t="inlineStr">
        <is>
          <t>LYCKSELE</t>
        </is>
      </c>
      <c r="F48" t="inlineStr">
        <is>
          <t>Sveaskog</t>
        </is>
      </c>
      <c r="G48" t="n">
        <v>15.1</v>
      </c>
      <c r="H48" t="n">
        <v>0</v>
      </c>
      <c r="I48" t="n">
        <v>2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3</v>
      </c>
      <c r="R48" s="2" t="inlineStr">
        <is>
          <t>Vaddporing
Dropptaggsvamp
Fjällig taggsvamp s.str.</t>
        </is>
      </c>
      <c r="S48">
        <f>HYPERLINK("https://klasma.github.io/Logging_2481/artfynd/A 61747-2021 artfynd.xlsx", "A 61747-2021")</f>
        <v/>
      </c>
      <c r="T48">
        <f>HYPERLINK("https://klasma.github.io/Logging_2481/kartor/A 61747-2021 karta.png", "A 61747-2021")</f>
        <v/>
      </c>
      <c r="V48">
        <f>HYPERLINK("https://klasma.github.io/Logging_2481/klagomål/A 61747-2021 FSC-klagomål.docx", "A 61747-2021")</f>
        <v/>
      </c>
      <c r="W48">
        <f>HYPERLINK("https://klasma.github.io/Logging_2481/klagomålsmail/A 61747-2021 FSC-klagomål mail.docx", "A 61747-2021")</f>
        <v/>
      </c>
      <c r="X48">
        <f>HYPERLINK("https://klasma.github.io/Logging_2481/tillsyn/A 61747-2021 tillsynsbegäran.docx", "A 61747-2021")</f>
        <v/>
      </c>
      <c r="Y48">
        <f>HYPERLINK("https://klasma.github.io/Logging_2481/tillsynsmail/A 61747-2021 tillsynsbegäran mail.docx", "A 61747-2021")</f>
        <v/>
      </c>
    </row>
    <row r="49" ht="15" customHeight="1">
      <c r="A49" t="inlineStr">
        <is>
          <t>A 48395-2024</t>
        </is>
      </c>
      <c r="B49" s="1" t="n">
        <v>45590</v>
      </c>
      <c r="C49" s="1" t="n">
        <v>45952</v>
      </c>
      <c r="D49" t="inlineStr">
        <is>
          <t>VÄSTERBOTTENS LÄN</t>
        </is>
      </c>
      <c r="E49" t="inlineStr">
        <is>
          <t>LYCKSELE</t>
        </is>
      </c>
      <c r="F49" t="inlineStr">
        <is>
          <t>SCA</t>
        </is>
      </c>
      <c r="G49" t="n">
        <v>1.1</v>
      </c>
      <c r="H49" t="n">
        <v>1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Ullticka
Ögonpyrola
Tjäder</t>
        </is>
      </c>
      <c r="S49">
        <f>HYPERLINK("https://klasma.github.io/Logging_2481/artfynd/A 48395-2024 artfynd.xlsx", "A 48395-2024")</f>
        <v/>
      </c>
      <c r="T49">
        <f>HYPERLINK("https://klasma.github.io/Logging_2481/kartor/A 48395-2024 karta.png", "A 48395-2024")</f>
        <v/>
      </c>
      <c r="V49">
        <f>HYPERLINK("https://klasma.github.io/Logging_2481/klagomål/A 48395-2024 FSC-klagomål.docx", "A 48395-2024")</f>
        <v/>
      </c>
      <c r="W49">
        <f>HYPERLINK("https://klasma.github.io/Logging_2481/klagomålsmail/A 48395-2024 FSC-klagomål mail.docx", "A 48395-2024")</f>
        <v/>
      </c>
      <c r="X49">
        <f>HYPERLINK("https://klasma.github.io/Logging_2481/tillsyn/A 48395-2024 tillsynsbegäran.docx", "A 48395-2024")</f>
        <v/>
      </c>
      <c r="Y49">
        <f>HYPERLINK("https://klasma.github.io/Logging_2481/tillsynsmail/A 48395-2024 tillsynsbegäran mail.docx", "A 48395-2024")</f>
        <v/>
      </c>
      <c r="Z49">
        <f>HYPERLINK("https://klasma.github.io/Logging_2481/fåglar/A 48395-2024 prioriterade fågelarter.docx", "A 48395-2024")</f>
        <v/>
      </c>
    </row>
    <row r="50" ht="15" customHeight="1">
      <c r="A50" t="inlineStr">
        <is>
          <t>A 55046-2024</t>
        </is>
      </c>
      <c r="B50" s="1" t="n">
        <v>45618</v>
      </c>
      <c r="C50" s="1" t="n">
        <v>45952</v>
      </c>
      <c r="D50" t="inlineStr">
        <is>
          <t>VÄSTERBOTTENS LÄN</t>
        </is>
      </c>
      <c r="E50" t="inlineStr">
        <is>
          <t>LYCKSELE</t>
        </is>
      </c>
      <c r="G50" t="n">
        <v>2.4</v>
      </c>
      <c r="H50" t="n">
        <v>1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Gammelgransskål
Tretåig hackspett
Vitgrynig nållav</t>
        </is>
      </c>
      <c r="S50">
        <f>HYPERLINK("https://klasma.github.io/Logging_2481/artfynd/A 55046-2024 artfynd.xlsx", "A 55046-2024")</f>
        <v/>
      </c>
      <c r="T50">
        <f>HYPERLINK("https://klasma.github.io/Logging_2481/kartor/A 55046-2024 karta.png", "A 55046-2024")</f>
        <v/>
      </c>
      <c r="V50">
        <f>HYPERLINK("https://klasma.github.io/Logging_2481/klagomål/A 55046-2024 FSC-klagomål.docx", "A 55046-2024")</f>
        <v/>
      </c>
      <c r="W50">
        <f>HYPERLINK("https://klasma.github.io/Logging_2481/klagomålsmail/A 55046-2024 FSC-klagomål mail.docx", "A 55046-2024")</f>
        <v/>
      </c>
      <c r="X50">
        <f>HYPERLINK("https://klasma.github.io/Logging_2481/tillsyn/A 55046-2024 tillsynsbegäran.docx", "A 55046-2024")</f>
        <v/>
      </c>
      <c r="Y50">
        <f>HYPERLINK("https://klasma.github.io/Logging_2481/tillsynsmail/A 55046-2024 tillsynsbegäran mail.docx", "A 55046-2024")</f>
        <v/>
      </c>
      <c r="Z50">
        <f>HYPERLINK("https://klasma.github.io/Logging_2481/fåglar/A 55046-2024 prioriterade fågelarter.docx", "A 55046-2024")</f>
        <v/>
      </c>
    </row>
    <row r="51" ht="15" customHeight="1">
      <c r="A51" t="inlineStr">
        <is>
          <t>A 38916-2025</t>
        </is>
      </c>
      <c r="B51" s="1" t="n">
        <v>45887.62298611111</v>
      </c>
      <c r="C51" s="1" t="n">
        <v>45952</v>
      </c>
      <c r="D51" t="inlineStr">
        <is>
          <t>VÄSTERBOTTENS LÄN</t>
        </is>
      </c>
      <c r="E51" t="inlineStr">
        <is>
          <t>LYCKSELE</t>
        </is>
      </c>
      <c r="F51" t="inlineStr">
        <is>
          <t>Sveaskog</t>
        </is>
      </c>
      <c r="G51" t="n">
        <v>3.1</v>
      </c>
      <c r="H51" t="n">
        <v>1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Doftticka
Lunglav
Stuplav</t>
        </is>
      </c>
      <c r="S51">
        <f>HYPERLINK("https://klasma.github.io/Logging_2481/artfynd/A 38916-2025 artfynd.xlsx", "A 38916-2025")</f>
        <v/>
      </c>
      <c r="T51">
        <f>HYPERLINK("https://klasma.github.io/Logging_2481/kartor/A 38916-2025 karta.png", "A 38916-2025")</f>
        <v/>
      </c>
      <c r="V51">
        <f>HYPERLINK("https://klasma.github.io/Logging_2481/klagomål/A 38916-2025 FSC-klagomål.docx", "A 38916-2025")</f>
        <v/>
      </c>
      <c r="W51">
        <f>HYPERLINK("https://klasma.github.io/Logging_2481/klagomålsmail/A 38916-2025 FSC-klagomål mail.docx", "A 38916-2025")</f>
        <v/>
      </c>
      <c r="X51">
        <f>HYPERLINK("https://klasma.github.io/Logging_2481/tillsyn/A 38916-2025 tillsynsbegäran.docx", "A 38916-2025")</f>
        <v/>
      </c>
      <c r="Y51">
        <f>HYPERLINK("https://klasma.github.io/Logging_2481/tillsynsmail/A 38916-2025 tillsynsbegäran mail.docx", "A 38916-2025")</f>
        <v/>
      </c>
    </row>
    <row r="52" ht="15" customHeight="1">
      <c r="A52" t="inlineStr">
        <is>
          <t>A 57357-2024</t>
        </is>
      </c>
      <c r="B52" s="1" t="n">
        <v>45629.65383101852</v>
      </c>
      <c r="C52" s="1" t="n">
        <v>45952</v>
      </c>
      <c r="D52" t="inlineStr">
        <is>
          <t>VÄSTERBOTTENS LÄN</t>
        </is>
      </c>
      <c r="E52" t="inlineStr">
        <is>
          <t>LYCKSELE</t>
        </is>
      </c>
      <c r="F52" t="inlineStr">
        <is>
          <t>Sveaskog</t>
        </is>
      </c>
      <c r="G52" t="n">
        <v>9.699999999999999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Doftskinn
Gammelgransskål
Garnlav</t>
        </is>
      </c>
      <c r="S52">
        <f>HYPERLINK("https://klasma.github.io/Logging_2481/artfynd/A 57357-2024 artfynd.xlsx", "A 57357-2024")</f>
        <v/>
      </c>
      <c r="T52">
        <f>HYPERLINK("https://klasma.github.io/Logging_2481/kartor/A 57357-2024 karta.png", "A 57357-2024")</f>
        <v/>
      </c>
      <c r="V52">
        <f>HYPERLINK("https://klasma.github.io/Logging_2481/klagomål/A 57357-2024 FSC-klagomål.docx", "A 57357-2024")</f>
        <v/>
      </c>
      <c r="W52">
        <f>HYPERLINK("https://klasma.github.io/Logging_2481/klagomålsmail/A 57357-2024 FSC-klagomål mail.docx", "A 57357-2024")</f>
        <v/>
      </c>
      <c r="X52">
        <f>HYPERLINK("https://klasma.github.io/Logging_2481/tillsyn/A 57357-2024 tillsynsbegäran.docx", "A 57357-2024")</f>
        <v/>
      </c>
      <c r="Y52">
        <f>HYPERLINK("https://klasma.github.io/Logging_2481/tillsynsmail/A 57357-2024 tillsynsbegäran mail.docx", "A 57357-2024")</f>
        <v/>
      </c>
    </row>
    <row r="53" ht="15" customHeight="1">
      <c r="A53" t="inlineStr">
        <is>
          <t>A 5696-2025</t>
        </is>
      </c>
      <c r="B53" s="1" t="n">
        <v>45694.39746527778</v>
      </c>
      <c r="C53" s="1" t="n">
        <v>45952</v>
      </c>
      <c r="D53" t="inlineStr">
        <is>
          <t>VÄSTERBOTTENS LÄN</t>
        </is>
      </c>
      <c r="E53" t="inlineStr">
        <is>
          <t>LYCKSELE</t>
        </is>
      </c>
      <c r="G53" t="n">
        <v>6.4</v>
      </c>
      <c r="H53" t="n">
        <v>1</v>
      </c>
      <c r="I53" t="n">
        <v>1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3</v>
      </c>
      <c r="R53" s="2" t="inlineStr">
        <is>
          <t>Blå taggsvamp
Tretåig hackspett
Dropptaggsvamp</t>
        </is>
      </c>
      <c r="S53">
        <f>HYPERLINK("https://klasma.github.io/Logging_2481/artfynd/A 5696-2025 artfynd.xlsx", "A 5696-2025")</f>
        <v/>
      </c>
      <c r="T53">
        <f>HYPERLINK("https://klasma.github.io/Logging_2481/kartor/A 5696-2025 karta.png", "A 5696-2025")</f>
        <v/>
      </c>
      <c r="V53">
        <f>HYPERLINK("https://klasma.github.io/Logging_2481/klagomål/A 5696-2025 FSC-klagomål.docx", "A 5696-2025")</f>
        <v/>
      </c>
      <c r="W53">
        <f>HYPERLINK("https://klasma.github.io/Logging_2481/klagomålsmail/A 5696-2025 FSC-klagomål mail.docx", "A 5696-2025")</f>
        <v/>
      </c>
      <c r="X53">
        <f>HYPERLINK("https://klasma.github.io/Logging_2481/tillsyn/A 5696-2025 tillsynsbegäran.docx", "A 5696-2025")</f>
        <v/>
      </c>
      <c r="Y53">
        <f>HYPERLINK("https://klasma.github.io/Logging_2481/tillsynsmail/A 5696-2025 tillsynsbegäran mail.docx", "A 5696-2025")</f>
        <v/>
      </c>
      <c r="Z53">
        <f>HYPERLINK("https://klasma.github.io/Logging_2481/fåglar/A 5696-2025 prioriterade fågelarter.docx", "A 5696-2025")</f>
        <v/>
      </c>
    </row>
    <row r="54" ht="15" customHeight="1">
      <c r="A54" t="inlineStr">
        <is>
          <t>A 54802-2024</t>
        </is>
      </c>
      <c r="B54" s="1" t="n">
        <v>45618.50975694445</v>
      </c>
      <c r="C54" s="1" t="n">
        <v>45952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6.2</v>
      </c>
      <c r="H54" t="n">
        <v>1</v>
      </c>
      <c r="I54" t="n">
        <v>1</v>
      </c>
      <c r="J54" t="n">
        <v>1</v>
      </c>
      <c r="K54" t="n">
        <v>1</v>
      </c>
      <c r="L54" t="n">
        <v>0</v>
      </c>
      <c r="M54" t="n">
        <v>0</v>
      </c>
      <c r="N54" t="n">
        <v>0</v>
      </c>
      <c r="O54" t="n">
        <v>2</v>
      </c>
      <c r="P54" t="n">
        <v>1</v>
      </c>
      <c r="Q54" t="n">
        <v>3</v>
      </c>
      <c r="R54" s="2" t="inlineStr">
        <is>
          <t>Doftticka
Blå taggsvamp
Dropptaggsvamp</t>
        </is>
      </c>
      <c r="S54">
        <f>HYPERLINK("https://klasma.github.io/Logging_2481/artfynd/A 54802-2024 artfynd.xlsx", "A 54802-2024")</f>
        <v/>
      </c>
      <c r="T54">
        <f>HYPERLINK("https://klasma.github.io/Logging_2481/kartor/A 54802-2024 karta.png", "A 54802-2024")</f>
        <v/>
      </c>
      <c r="V54">
        <f>HYPERLINK("https://klasma.github.io/Logging_2481/klagomål/A 54802-2024 FSC-klagomål.docx", "A 54802-2024")</f>
        <v/>
      </c>
      <c r="W54">
        <f>HYPERLINK("https://klasma.github.io/Logging_2481/klagomålsmail/A 54802-2024 FSC-klagomål mail.docx", "A 54802-2024")</f>
        <v/>
      </c>
      <c r="X54">
        <f>HYPERLINK("https://klasma.github.io/Logging_2481/tillsyn/A 54802-2024 tillsynsbegäran.docx", "A 54802-2024")</f>
        <v/>
      </c>
      <c r="Y54">
        <f>HYPERLINK("https://klasma.github.io/Logging_2481/tillsynsmail/A 54802-2024 tillsynsbegäran mail.docx", "A 54802-2024")</f>
        <v/>
      </c>
    </row>
    <row r="55" ht="15" customHeight="1">
      <c r="A55" t="inlineStr">
        <is>
          <t>A 679-2024</t>
        </is>
      </c>
      <c r="B55" s="1" t="n">
        <v>45300</v>
      </c>
      <c r="C55" s="1" t="n">
        <v>45952</v>
      </c>
      <c r="D55" t="inlineStr">
        <is>
          <t>VÄSTERBOTTENS LÄN</t>
        </is>
      </c>
      <c r="E55" t="inlineStr">
        <is>
          <t>LYCKSELE</t>
        </is>
      </c>
      <c r="G55" t="n">
        <v>11.3</v>
      </c>
      <c r="H55" t="n">
        <v>0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Garnlav
Skrovellav
Luddlav</t>
        </is>
      </c>
      <c r="S55">
        <f>HYPERLINK("https://klasma.github.io/Logging_2481/artfynd/A 679-2024 artfynd.xlsx", "A 679-2024")</f>
        <v/>
      </c>
      <c r="T55">
        <f>HYPERLINK("https://klasma.github.io/Logging_2481/kartor/A 679-2024 karta.png", "A 679-2024")</f>
        <v/>
      </c>
      <c r="V55">
        <f>HYPERLINK("https://klasma.github.io/Logging_2481/klagomål/A 679-2024 FSC-klagomål.docx", "A 679-2024")</f>
        <v/>
      </c>
      <c r="W55">
        <f>HYPERLINK("https://klasma.github.io/Logging_2481/klagomålsmail/A 679-2024 FSC-klagomål mail.docx", "A 679-2024")</f>
        <v/>
      </c>
      <c r="X55">
        <f>HYPERLINK("https://klasma.github.io/Logging_2481/tillsyn/A 679-2024 tillsynsbegäran.docx", "A 679-2024")</f>
        <v/>
      </c>
      <c r="Y55">
        <f>HYPERLINK("https://klasma.github.io/Logging_2481/tillsynsmail/A 679-2024 tillsynsbegäran mail.docx", "A 679-2024")</f>
        <v/>
      </c>
    </row>
    <row r="56" ht="15" customHeight="1">
      <c r="A56" t="inlineStr">
        <is>
          <t>A 59276-2024</t>
        </is>
      </c>
      <c r="B56" s="1" t="n">
        <v>45637.62774305556</v>
      </c>
      <c r="C56" s="1" t="n">
        <v>45952</v>
      </c>
      <c r="D56" t="inlineStr">
        <is>
          <t>VÄSTERBOTTENS LÄN</t>
        </is>
      </c>
      <c r="E56" t="inlineStr">
        <is>
          <t>LYCKSELE</t>
        </is>
      </c>
      <c r="F56" t="inlineStr">
        <is>
          <t>Sveaskog</t>
        </is>
      </c>
      <c r="G56" t="n">
        <v>12</v>
      </c>
      <c r="H56" t="n">
        <v>0</v>
      </c>
      <c r="I56" t="n">
        <v>1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3</v>
      </c>
      <c r="R56" s="2" t="inlineStr">
        <is>
          <t>Kolflarnlav
Motaggsvamp
Dropptaggsvamp</t>
        </is>
      </c>
      <c r="S56">
        <f>HYPERLINK("https://klasma.github.io/Logging_2481/artfynd/A 59276-2024 artfynd.xlsx", "A 59276-2024")</f>
        <v/>
      </c>
      <c r="T56">
        <f>HYPERLINK("https://klasma.github.io/Logging_2481/kartor/A 59276-2024 karta.png", "A 59276-2024")</f>
        <v/>
      </c>
      <c r="V56">
        <f>HYPERLINK("https://klasma.github.io/Logging_2481/klagomål/A 59276-2024 FSC-klagomål.docx", "A 59276-2024")</f>
        <v/>
      </c>
      <c r="W56">
        <f>HYPERLINK("https://klasma.github.io/Logging_2481/klagomålsmail/A 59276-2024 FSC-klagomål mail.docx", "A 59276-2024")</f>
        <v/>
      </c>
      <c r="X56">
        <f>HYPERLINK("https://klasma.github.io/Logging_2481/tillsyn/A 59276-2024 tillsynsbegäran.docx", "A 59276-2024")</f>
        <v/>
      </c>
      <c r="Y56">
        <f>HYPERLINK("https://klasma.github.io/Logging_2481/tillsynsmail/A 59276-2024 tillsynsbegäran mail.docx", "A 59276-2024")</f>
        <v/>
      </c>
    </row>
    <row r="57" ht="15" customHeight="1">
      <c r="A57" t="inlineStr">
        <is>
          <t>A 53808-2023</t>
        </is>
      </c>
      <c r="B57" s="1" t="n">
        <v>45231</v>
      </c>
      <c r="C57" s="1" t="n">
        <v>45952</v>
      </c>
      <c r="D57" t="inlineStr">
        <is>
          <t>VÄSTERBOTTENS LÄN</t>
        </is>
      </c>
      <c r="E57" t="inlineStr">
        <is>
          <t>LYCKSELE</t>
        </is>
      </c>
      <c r="F57" t="inlineStr">
        <is>
          <t>Sveaskog</t>
        </is>
      </c>
      <c r="G57" t="n">
        <v>1.8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Vedflamlav
Brandticka
Gullgröppa</t>
        </is>
      </c>
      <c r="S57">
        <f>HYPERLINK("https://klasma.github.io/Logging_2481/artfynd/A 53808-2023 artfynd.xlsx", "A 53808-2023")</f>
        <v/>
      </c>
      <c r="T57">
        <f>HYPERLINK("https://klasma.github.io/Logging_2481/kartor/A 53808-2023 karta.png", "A 53808-2023")</f>
        <v/>
      </c>
      <c r="V57">
        <f>HYPERLINK("https://klasma.github.io/Logging_2481/klagomål/A 53808-2023 FSC-klagomål.docx", "A 53808-2023")</f>
        <v/>
      </c>
      <c r="W57">
        <f>HYPERLINK("https://klasma.github.io/Logging_2481/klagomålsmail/A 53808-2023 FSC-klagomål mail.docx", "A 53808-2023")</f>
        <v/>
      </c>
      <c r="X57">
        <f>HYPERLINK("https://klasma.github.io/Logging_2481/tillsyn/A 53808-2023 tillsynsbegäran.docx", "A 53808-2023")</f>
        <v/>
      </c>
      <c r="Y57">
        <f>HYPERLINK("https://klasma.github.io/Logging_2481/tillsynsmail/A 53808-2023 tillsynsbegäran mail.docx", "A 53808-2023")</f>
        <v/>
      </c>
    </row>
    <row r="58" ht="15" customHeight="1">
      <c r="A58" t="inlineStr">
        <is>
          <t>A 22123-2025</t>
        </is>
      </c>
      <c r="B58" s="1" t="n">
        <v>45785.52142361111</v>
      </c>
      <c r="C58" s="1" t="n">
        <v>45952</v>
      </c>
      <c r="D58" t="inlineStr">
        <is>
          <t>VÄSTERBOTTENS LÄN</t>
        </is>
      </c>
      <c r="E58" t="inlineStr">
        <is>
          <t>LYCKSELE</t>
        </is>
      </c>
      <c r="F58" t="inlineStr">
        <is>
          <t>Sveaskog</t>
        </is>
      </c>
      <c r="G58" t="n">
        <v>11.2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Blå taggsvamp
Kolflarnlav
Dropptaggsvamp</t>
        </is>
      </c>
      <c r="S58">
        <f>HYPERLINK("https://klasma.github.io/Logging_2481/artfynd/A 22123-2025 artfynd.xlsx", "A 22123-2025")</f>
        <v/>
      </c>
      <c r="T58">
        <f>HYPERLINK("https://klasma.github.io/Logging_2481/kartor/A 22123-2025 karta.png", "A 22123-2025")</f>
        <v/>
      </c>
      <c r="V58">
        <f>HYPERLINK("https://klasma.github.io/Logging_2481/klagomål/A 22123-2025 FSC-klagomål.docx", "A 22123-2025")</f>
        <v/>
      </c>
      <c r="W58">
        <f>HYPERLINK("https://klasma.github.io/Logging_2481/klagomålsmail/A 22123-2025 FSC-klagomål mail.docx", "A 22123-2025")</f>
        <v/>
      </c>
      <c r="X58">
        <f>HYPERLINK("https://klasma.github.io/Logging_2481/tillsyn/A 22123-2025 tillsynsbegäran.docx", "A 22123-2025")</f>
        <v/>
      </c>
      <c r="Y58">
        <f>HYPERLINK("https://klasma.github.io/Logging_2481/tillsynsmail/A 22123-2025 tillsynsbegäran mail.docx", "A 22123-2025")</f>
        <v/>
      </c>
    </row>
    <row r="59" ht="15" customHeight="1">
      <c r="A59" t="inlineStr">
        <is>
          <t>A 22368-2025</t>
        </is>
      </c>
      <c r="B59" s="1" t="n">
        <v>45786.47642361111</v>
      </c>
      <c r="C59" s="1" t="n">
        <v>45952</v>
      </c>
      <c r="D59" t="inlineStr">
        <is>
          <t>VÄSTERBOTTENS LÄN</t>
        </is>
      </c>
      <c r="E59" t="inlineStr">
        <is>
          <t>LYCKSELE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3</v>
      </c>
      <c r="K59" t="n">
        <v>0</v>
      </c>
      <c r="L59" t="n">
        <v>0</v>
      </c>
      <c r="M59" t="n">
        <v>0</v>
      </c>
      <c r="N59" t="n">
        <v>0</v>
      </c>
      <c r="O59" t="n">
        <v>3</v>
      </c>
      <c r="P59" t="n">
        <v>0</v>
      </c>
      <c r="Q59" t="n">
        <v>3</v>
      </c>
      <c r="R59" s="2" t="inlineStr">
        <is>
          <t>Blå taggsvamp
Kolflarnlav
Mörk kolflarnlav</t>
        </is>
      </c>
      <c r="S59">
        <f>HYPERLINK("https://klasma.github.io/Logging_2481/artfynd/A 22368-2025 artfynd.xlsx", "A 22368-2025")</f>
        <v/>
      </c>
      <c r="T59">
        <f>HYPERLINK("https://klasma.github.io/Logging_2481/kartor/A 22368-2025 karta.png", "A 22368-2025")</f>
        <v/>
      </c>
      <c r="V59">
        <f>HYPERLINK("https://klasma.github.io/Logging_2481/klagomål/A 22368-2025 FSC-klagomål.docx", "A 22368-2025")</f>
        <v/>
      </c>
      <c r="W59">
        <f>HYPERLINK("https://klasma.github.io/Logging_2481/klagomålsmail/A 22368-2025 FSC-klagomål mail.docx", "A 22368-2025")</f>
        <v/>
      </c>
      <c r="X59">
        <f>HYPERLINK("https://klasma.github.io/Logging_2481/tillsyn/A 22368-2025 tillsynsbegäran.docx", "A 22368-2025")</f>
        <v/>
      </c>
      <c r="Y59">
        <f>HYPERLINK("https://klasma.github.io/Logging_2481/tillsynsmail/A 22368-2025 tillsynsbegäran mail.docx", "A 22368-2025")</f>
        <v/>
      </c>
    </row>
    <row r="60" ht="15" customHeight="1">
      <c r="A60" t="inlineStr">
        <is>
          <t>A 54566-2024</t>
        </is>
      </c>
      <c r="B60" s="1" t="n">
        <v>45617.63777777777</v>
      </c>
      <c r="C60" s="1" t="n">
        <v>45952</v>
      </c>
      <c r="D60" t="inlineStr">
        <is>
          <t>VÄSTERBOTTENS LÄN</t>
        </is>
      </c>
      <c r="E60" t="inlineStr">
        <is>
          <t>LYCKSELE</t>
        </is>
      </c>
      <c r="F60" t="inlineStr">
        <is>
          <t>Sveaskog</t>
        </is>
      </c>
      <c r="G60" t="n">
        <v>6.7</v>
      </c>
      <c r="H60" t="n">
        <v>0</v>
      </c>
      <c r="I60" t="n">
        <v>2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3</v>
      </c>
      <c r="R60" s="2" t="inlineStr">
        <is>
          <t>Orange taggsvamp
Dropptaggsvamp
Vedticka</t>
        </is>
      </c>
      <c r="S60">
        <f>HYPERLINK("https://klasma.github.io/Logging_2481/artfynd/A 54566-2024 artfynd.xlsx", "A 54566-2024")</f>
        <v/>
      </c>
      <c r="T60">
        <f>HYPERLINK("https://klasma.github.io/Logging_2481/kartor/A 54566-2024 karta.png", "A 54566-2024")</f>
        <v/>
      </c>
      <c r="V60">
        <f>HYPERLINK("https://klasma.github.io/Logging_2481/klagomål/A 54566-2024 FSC-klagomål.docx", "A 54566-2024")</f>
        <v/>
      </c>
      <c r="W60">
        <f>HYPERLINK("https://klasma.github.io/Logging_2481/klagomålsmail/A 54566-2024 FSC-klagomål mail.docx", "A 54566-2024")</f>
        <v/>
      </c>
      <c r="X60">
        <f>HYPERLINK("https://klasma.github.io/Logging_2481/tillsyn/A 54566-2024 tillsynsbegäran.docx", "A 54566-2024")</f>
        <v/>
      </c>
      <c r="Y60">
        <f>HYPERLINK("https://klasma.github.io/Logging_2481/tillsynsmail/A 54566-2024 tillsynsbegäran mail.docx", "A 54566-2024")</f>
        <v/>
      </c>
    </row>
    <row r="61" ht="15" customHeight="1">
      <c r="A61" t="inlineStr">
        <is>
          <t>A 53115-2024</t>
        </is>
      </c>
      <c r="B61" s="1" t="n">
        <v>45611.5784375</v>
      </c>
      <c r="C61" s="1" t="n">
        <v>45952</v>
      </c>
      <c r="D61" t="inlineStr">
        <is>
          <t>VÄSTERBOTTENS LÄN</t>
        </is>
      </c>
      <c r="E61" t="inlineStr">
        <is>
          <t>LYCKSELE</t>
        </is>
      </c>
      <c r="F61" t="inlineStr">
        <is>
          <t>Sveaskog</t>
        </is>
      </c>
      <c r="G61" t="n">
        <v>4.1</v>
      </c>
      <c r="H61" t="n">
        <v>0</v>
      </c>
      <c r="I61" t="n">
        <v>0</v>
      </c>
      <c r="J61" t="n">
        <v>3</v>
      </c>
      <c r="K61" t="n">
        <v>0</v>
      </c>
      <c r="L61" t="n">
        <v>0</v>
      </c>
      <c r="M61" t="n">
        <v>0</v>
      </c>
      <c r="N61" t="n">
        <v>0</v>
      </c>
      <c r="O61" t="n">
        <v>3</v>
      </c>
      <c r="P61" t="n">
        <v>0</v>
      </c>
      <c r="Q61" t="n">
        <v>3</v>
      </c>
      <c r="R61" s="2" t="inlineStr">
        <is>
          <t>Blå taggsvamp
Kolflarnlav
Orange taggsvamp</t>
        </is>
      </c>
      <c r="S61">
        <f>HYPERLINK("https://klasma.github.io/Logging_2481/artfynd/A 53115-2024 artfynd.xlsx", "A 53115-2024")</f>
        <v/>
      </c>
      <c r="T61">
        <f>HYPERLINK("https://klasma.github.io/Logging_2481/kartor/A 53115-2024 karta.png", "A 53115-2024")</f>
        <v/>
      </c>
      <c r="V61">
        <f>HYPERLINK("https://klasma.github.io/Logging_2481/klagomål/A 53115-2024 FSC-klagomål.docx", "A 53115-2024")</f>
        <v/>
      </c>
      <c r="W61">
        <f>HYPERLINK("https://klasma.github.io/Logging_2481/klagomålsmail/A 53115-2024 FSC-klagomål mail.docx", "A 53115-2024")</f>
        <v/>
      </c>
      <c r="X61">
        <f>HYPERLINK("https://klasma.github.io/Logging_2481/tillsyn/A 53115-2024 tillsynsbegäran.docx", "A 53115-2024")</f>
        <v/>
      </c>
      <c r="Y61">
        <f>HYPERLINK("https://klasma.github.io/Logging_2481/tillsynsmail/A 53115-2024 tillsynsbegäran mail.docx", "A 53115-2024")</f>
        <v/>
      </c>
    </row>
    <row r="62" ht="15" customHeight="1">
      <c r="A62" t="inlineStr">
        <is>
          <t>A 60422-2024</t>
        </is>
      </c>
      <c r="B62" s="1" t="n">
        <v>45643.54054398148</v>
      </c>
      <c r="C62" s="1" t="n">
        <v>45952</v>
      </c>
      <c r="D62" t="inlineStr">
        <is>
          <t>VÄSTERBOTTENS LÄN</t>
        </is>
      </c>
      <c r="E62" t="inlineStr">
        <is>
          <t>LYCKSELE</t>
        </is>
      </c>
      <c r="F62" t="inlineStr">
        <is>
          <t>Sveaskog</t>
        </is>
      </c>
      <c r="G62" t="n">
        <v>12</v>
      </c>
      <c r="H62" t="n">
        <v>0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Kolflarnlav
Motaggsvamp
Dropptaggsvamp</t>
        </is>
      </c>
      <c r="S62">
        <f>HYPERLINK("https://klasma.github.io/Logging_2481/artfynd/A 60422-2024 artfynd.xlsx", "A 60422-2024")</f>
        <v/>
      </c>
      <c r="T62">
        <f>HYPERLINK("https://klasma.github.io/Logging_2481/kartor/A 60422-2024 karta.png", "A 60422-2024")</f>
        <v/>
      </c>
      <c r="V62">
        <f>HYPERLINK("https://klasma.github.io/Logging_2481/klagomål/A 60422-2024 FSC-klagomål.docx", "A 60422-2024")</f>
        <v/>
      </c>
      <c r="W62">
        <f>HYPERLINK("https://klasma.github.io/Logging_2481/klagomålsmail/A 60422-2024 FSC-klagomål mail.docx", "A 60422-2024")</f>
        <v/>
      </c>
      <c r="X62">
        <f>HYPERLINK("https://klasma.github.io/Logging_2481/tillsyn/A 60422-2024 tillsynsbegäran.docx", "A 60422-2024")</f>
        <v/>
      </c>
      <c r="Y62">
        <f>HYPERLINK("https://klasma.github.io/Logging_2481/tillsynsmail/A 60422-2024 tillsynsbegäran mail.docx", "A 60422-2024")</f>
        <v/>
      </c>
    </row>
    <row r="63" ht="15" customHeight="1">
      <c r="A63" t="inlineStr">
        <is>
          <t>A 33340-2025</t>
        </is>
      </c>
      <c r="B63" s="1" t="n">
        <v>45841.36038194445</v>
      </c>
      <c r="C63" s="1" t="n">
        <v>45952</v>
      </c>
      <c r="D63" t="inlineStr">
        <is>
          <t>VÄSTERBOTTENS LÄN</t>
        </is>
      </c>
      <c r="E63" t="inlineStr">
        <is>
          <t>LYCKSELE</t>
        </is>
      </c>
      <c r="F63" t="inlineStr">
        <is>
          <t>Sveaskog</t>
        </is>
      </c>
      <c r="G63" t="n">
        <v>5.2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Mörk kolflarnlav
Vaddporing
Vedflamlav</t>
        </is>
      </c>
      <c r="S63">
        <f>HYPERLINK("https://klasma.github.io/Logging_2481/artfynd/A 33340-2025 artfynd.xlsx", "A 33340-2025")</f>
        <v/>
      </c>
      <c r="T63">
        <f>HYPERLINK("https://klasma.github.io/Logging_2481/kartor/A 33340-2025 karta.png", "A 33340-2025")</f>
        <v/>
      </c>
      <c r="V63">
        <f>HYPERLINK("https://klasma.github.io/Logging_2481/klagomål/A 33340-2025 FSC-klagomål.docx", "A 33340-2025")</f>
        <v/>
      </c>
      <c r="W63">
        <f>HYPERLINK("https://klasma.github.io/Logging_2481/klagomålsmail/A 33340-2025 FSC-klagomål mail.docx", "A 33340-2025")</f>
        <v/>
      </c>
      <c r="X63">
        <f>HYPERLINK("https://klasma.github.io/Logging_2481/tillsyn/A 33340-2025 tillsynsbegäran.docx", "A 33340-2025")</f>
        <v/>
      </c>
      <c r="Y63">
        <f>HYPERLINK("https://klasma.github.io/Logging_2481/tillsynsmail/A 33340-2025 tillsynsbegäran mail.docx", "A 33340-2025")</f>
        <v/>
      </c>
    </row>
    <row r="64" ht="15" customHeight="1">
      <c r="A64" t="inlineStr">
        <is>
          <t>A 43726-2025</t>
        </is>
      </c>
      <c r="B64" s="1" t="n">
        <v>45912.4291087963</v>
      </c>
      <c r="C64" s="1" t="n">
        <v>45952</v>
      </c>
      <c r="D64" t="inlineStr">
        <is>
          <t>VÄSTERBOTTENS LÄN</t>
        </is>
      </c>
      <c r="E64" t="inlineStr">
        <is>
          <t>LYCKSELE</t>
        </is>
      </c>
      <c r="F64" t="inlineStr">
        <is>
          <t>Sveaskog</t>
        </is>
      </c>
      <c r="G64" t="n">
        <v>10.1</v>
      </c>
      <c r="H64" t="n">
        <v>1</v>
      </c>
      <c r="I64" t="n">
        <v>0</v>
      </c>
      <c r="J64" t="n">
        <v>2</v>
      </c>
      <c r="K64" t="n">
        <v>1</v>
      </c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3</v>
      </c>
      <c r="R64" s="2" t="inlineStr">
        <is>
          <t>Doftticka
Kolflarnlav
Lunglav</t>
        </is>
      </c>
      <c r="S64">
        <f>HYPERLINK("https://klasma.github.io/Logging_2481/artfynd/A 43726-2025 artfynd.xlsx", "A 43726-2025")</f>
        <v/>
      </c>
      <c r="T64">
        <f>HYPERLINK("https://klasma.github.io/Logging_2481/kartor/A 43726-2025 karta.png", "A 43726-2025")</f>
        <v/>
      </c>
      <c r="V64">
        <f>HYPERLINK("https://klasma.github.io/Logging_2481/klagomål/A 43726-2025 FSC-klagomål.docx", "A 43726-2025")</f>
        <v/>
      </c>
      <c r="W64">
        <f>HYPERLINK("https://klasma.github.io/Logging_2481/klagomålsmail/A 43726-2025 FSC-klagomål mail.docx", "A 43726-2025")</f>
        <v/>
      </c>
      <c r="X64">
        <f>HYPERLINK("https://klasma.github.io/Logging_2481/tillsyn/A 43726-2025 tillsynsbegäran.docx", "A 43726-2025")</f>
        <v/>
      </c>
      <c r="Y64">
        <f>HYPERLINK("https://klasma.github.io/Logging_2481/tillsynsmail/A 43726-2025 tillsynsbegäran mail.docx", "A 43726-2025")</f>
        <v/>
      </c>
    </row>
    <row r="65" ht="15" customHeight="1">
      <c r="A65" t="inlineStr">
        <is>
          <t>A 6526-2022</t>
        </is>
      </c>
      <c r="B65" s="1" t="n">
        <v>44601</v>
      </c>
      <c r="C65" s="1" t="n">
        <v>45952</v>
      </c>
      <c r="D65" t="inlineStr">
        <is>
          <t>VÄSTERBOTTENS LÄN</t>
        </is>
      </c>
      <c r="E65" t="inlineStr">
        <is>
          <t>LYCKSELE</t>
        </is>
      </c>
      <c r="F65" t="inlineStr">
        <is>
          <t>Sveaskog</t>
        </is>
      </c>
      <c r="G65" t="n">
        <v>6.7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Skrovlig taggsvamp
Dropptaggsvamp</t>
        </is>
      </c>
      <c r="S65">
        <f>HYPERLINK("https://klasma.github.io/Logging_2481/artfynd/A 6526-2022 artfynd.xlsx", "A 6526-2022")</f>
        <v/>
      </c>
      <c r="T65">
        <f>HYPERLINK("https://klasma.github.io/Logging_2481/kartor/A 6526-2022 karta.png", "A 6526-2022")</f>
        <v/>
      </c>
      <c r="V65">
        <f>HYPERLINK("https://klasma.github.io/Logging_2481/klagomål/A 6526-2022 FSC-klagomål.docx", "A 6526-2022")</f>
        <v/>
      </c>
      <c r="W65">
        <f>HYPERLINK("https://klasma.github.io/Logging_2481/klagomålsmail/A 6526-2022 FSC-klagomål mail.docx", "A 6526-2022")</f>
        <v/>
      </c>
      <c r="X65">
        <f>HYPERLINK("https://klasma.github.io/Logging_2481/tillsyn/A 6526-2022 tillsynsbegäran.docx", "A 6526-2022")</f>
        <v/>
      </c>
      <c r="Y65">
        <f>HYPERLINK("https://klasma.github.io/Logging_2481/tillsynsmail/A 6526-2022 tillsynsbegäran mail.docx", "A 6526-2022")</f>
        <v/>
      </c>
    </row>
    <row r="66" ht="15" customHeight="1">
      <c r="A66" t="inlineStr">
        <is>
          <t>A 70179-2021</t>
        </is>
      </c>
      <c r="B66" s="1" t="n">
        <v>44533.92109953704</v>
      </c>
      <c r="C66" s="1" t="n">
        <v>45952</v>
      </c>
      <c r="D66" t="inlineStr">
        <is>
          <t>VÄSTERBOTTENS LÄN</t>
        </is>
      </c>
      <c r="E66" t="inlineStr">
        <is>
          <t>LYCKSELE</t>
        </is>
      </c>
      <c r="G66" t="n">
        <v>5.2</v>
      </c>
      <c r="H66" t="n">
        <v>0</v>
      </c>
      <c r="I66" t="n">
        <v>0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2</v>
      </c>
      <c r="R66" s="2" t="inlineStr">
        <is>
          <t>Blanksvart spiklav
Vedflamlav</t>
        </is>
      </c>
      <c r="S66">
        <f>HYPERLINK("https://klasma.github.io/Logging_2481/artfynd/A 70179-2021 artfynd.xlsx", "A 70179-2021")</f>
        <v/>
      </c>
      <c r="T66">
        <f>HYPERLINK("https://klasma.github.io/Logging_2481/kartor/A 70179-2021 karta.png", "A 70179-2021")</f>
        <v/>
      </c>
      <c r="V66">
        <f>HYPERLINK("https://klasma.github.io/Logging_2481/klagomål/A 70179-2021 FSC-klagomål.docx", "A 70179-2021")</f>
        <v/>
      </c>
      <c r="W66">
        <f>HYPERLINK("https://klasma.github.io/Logging_2481/klagomålsmail/A 70179-2021 FSC-klagomål mail.docx", "A 70179-2021")</f>
        <v/>
      </c>
      <c r="X66">
        <f>HYPERLINK("https://klasma.github.io/Logging_2481/tillsyn/A 70179-2021 tillsynsbegäran.docx", "A 70179-2021")</f>
        <v/>
      </c>
      <c r="Y66">
        <f>HYPERLINK("https://klasma.github.io/Logging_2481/tillsynsmail/A 70179-2021 tillsynsbegäran mail.docx", "A 70179-2021")</f>
        <v/>
      </c>
    </row>
    <row r="67" ht="15" customHeight="1">
      <c r="A67" t="inlineStr">
        <is>
          <t>A 15662-2021</t>
        </is>
      </c>
      <c r="B67" s="1" t="n">
        <v>44286.32886574074</v>
      </c>
      <c r="C67" s="1" t="n">
        <v>45952</v>
      </c>
      <c r="D67" t="inlineStr">
        <is>
          <t>VÄSTERBOTTENS LÄN</t>
        </is>
      </c>
      <c r="E67" t="inlineStr">
        <is>
          <t>LYCKSELE</t>
        </is>
      </c>
      <c r="F67" t="inlineStr">
        <is>
          <t>Sveaskog</t>
        </is>
      </c>
      <c r="G67" t="n">
        <v>3.4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Lunglav
Reliktbock</t>
        </is>
      </c>
      <c r="S67">
        <f>HYPERLINK("https://klasma.github.io/Logging_2481/artfynd/A 15662-2021 artfynd.xlsx", "A 15662-2021")</f>
        <v/>
      </c>
      <c r="T67">
        <f>HYPERLINK("https://klasma.github.io/Logging_2481/kartor/A 15662-2021 karta.png", "A 15662-2021")</f>
        <v/>
      </c>
      <c r="V67">
        <f>HYPERLINK("https://klasma.github.io/Logging_2481/klagomål/A 15662-2021 FSC-klagomål.docx", "A 15662-2021")</f>
        <v/>
      </c>
      <c r="W67">
        <f>HYPERLINK("https://klasma.github.io/Logging_2481/klagomålsmail/A 15662-2021 FSC-klagomål mail.docx", "A 15662-2021")</f>
        <v/>
      </c>
      <c r="X67">
        <f>HYPERLINK("https://klasma.github.io/Logging_2481/tillsyn/A 15662-2021 tillsynsbegäran.docx", "A 15662-2021")</f>
        <v/>
      </c>
      <c r="Y67">
        <f>HYPERLINK("https://klasma.github.io/Logging_2481/tillsynsmail/A 15662-2021 tillsynsbegäran mail.docx", "A 15662-2021")</f>
        <v/>
      </c>
    </row>
    <row r="68" ht="15" customHeight="1">
      <c r="A68" t="inlineStr">
        <is>
          <t>A 61497-2021</t>
        </is>
      </c>
      <c r="B68" s="1" t="n">
        <v>44501</v>
      </c>
      <c r="C68" s="1" t="n">
        <v>45952</v>
      </c>
      <c r="D68" t="inlineStr">
        <is>
          <t>VÄSTERBOTTENS LÄN</t>
        </is>
      </c>
      <c r="E68" t="inlineStr">
        <is>
          <t>LYCKSELE</t>
        </is>
      </c>
      <c r="F68" t="inlineStr">
        <is>
          <t>Sveaskog</t>
        </is>
      </c>
      <c r="G68" t="n">
        <v>8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Dvärgbägarlav
Vaddporing</t>
        </is>
      </c>
      <c r="S68">
        <f>HYPERLINK("https://klasma.github.io/Logging_2481/artfynd/A 61497-2021 artfynd.xlsx", "A 61497-2021")</f>
        <v/>
      </c>
      <c r="T68">
        <f>HYPERLINK("https://klasma.github.io/Logging_2481/kartor/A 61497-2021 karta.png", "A 61497-2021")</f>
        <v/>
      </c>
      <c r="V68">
        <f>HYPERLINK("https://klasma.github.io/Logging_2481/klagomål/A 61497-2021 FSC-klagomål.docx", "A 61497-2021")</f>
        <v/>
      </c>
      <c r="W68">
        <f>HYPERLINK("https://klasma.github.io/Logging_2481/klagomålsmail/A 61497-2021 FSC-klagomål mail.docx", "A 61497-2021")</f>
        <v/>
      </c>
      <c r="X68">
        <f>HYPERLINK("https://klasma.github.io/Logging_2481/tillsyn/A 61497-2021 tillsynsbegäran.docx", "A 61497-2021")</f>
        <v/>
      </c>
      <c r="Y68">
        <f>HYPERLINK("https://klasma.github.io/Logging_2481/tillsynsmail/A 61497-2021 tillsynsbegäran mail.docx", "A 61497-2021")</f>
        <v/>
      </c>
    </row>
    <row r="69" ht="15" customHeight="1">
      <c r="A69" t="inlineStr">
        <is>
          <t>A 52234-2024</t>
        </is>
      </c>
      <c r="B69" s="1" t="n">
        <v>45608.6122337963</v>
      </c>
      <c r="C69" s="1" t="n">
        <v>45952</v>
      </c>
      <c r="D69" t="inlineStr">
        <is>
          <t>VÄSTERBOTTENS LÄN</t>
        </is>
      </c>
      <c r="E69" t="inlineStr">
        <is>
          <t>LYCKSELE</t>
        </is>
      </c>
      <c r="F69" t="inlineStr">
        <is>
          <t>Sveaskog</t>
        </is>
      </c>
      <c r="G69" t="n">
        <v>2.7</v>
      </c>
      <c r="H69" t="n">
        <v>1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Dropptaggsvamp
Lavskrika</t>
        </is>
      </c>
      <c r="S69">
        <f>HYPERLINK("https://klasma.github.io/Logging_2481/artfynd/A 52234-2024 artfynd.xlsx", "A 52234-2024")</f>
        <v/>
      </c>
      <c r="T69">
        <f>HYPERLINK("https://klasma.github.io/Logging_2481/kartor/A 52234-2024 karta.png", "A 52234-2024")</f>
        <v/>
      </c>
      <c r="V69">
        <f>HYPERLINK("https://klasma.github.io/Logging_2481/klagomål/A 52234-2024 FSC-klagomål.docx", "A 52234-2024")</f>
        <v/>
      </c>
      <c r="W69">
        <f>HYPERLINK("https://klasma.github.io/Logging_2481/klagomålsmail/A 52234-2024 FSC-klagomål mail.docx", "A 52234-2024")</f>
        <v/>
      </c>
      <c r="X69">
        <f>HYPERLINK("https://klasma.github.io/Logging_2481/tillsyn/A 52234-2024 tillsynsbegäran.docx", "A 52234-2024")</f>
        <v/>
      </c>
      <c r="Y69">
        <f>HYPERLINK("https://klasma.github.io/Logging_2481/tillsynsmail/A 52234-2024 tillsynsbegäran mail.docx", "A 52234-2024")</f>
        <v/>
      </c>
      <c r="Z69">
        <f>HYPERLINK("https://klasma.github.io/Logging_2481/fåglar/A 52234-2024 prioriterade fågelarter.docx", "A 52234-2024")</f>
        <v/>
      </c>
    </row>
    <row r="70" ht="15" customHeight="1">
      <c r="A70" t="inlineStr">
        <is>
          <t>A 38475-2023</t>
        </is>
      </c>
      <c r="B70" s="1" t="n">
        <v>45162.4615625</v>
      </c>
      <c r="C70" s="1" t="n">
        <v>45952</v>
      </c>
      <c r="D70" t="inlineStr">
        <is>
          <t>VÄSTERBOTTENS LÄN</t>
        </is>
      </c>
      <c r="E70" t="inlineStr">
        <is>
          <t>LYCKSELE</t>
        </is>
      </c>
      <c r="F70" t="inlineStr">
        <is>
          <t>Sveaskog</t>
        </is>
      </c>
      <c r="G70" t="n">
        <v>1.6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Blå taggsvamp
Mörk kolflarnlav</t>
        </is>
      </c>
      <c r="S70">
        <f>HYPERLINK("https://klasma.github.io/Logging_2481/artfynd/A 38475-2023 artfynd.xlsx", "A 38475-2023")</f>
        <v/>
      </c>
      <c r="T70">
        <f>HYPERLINK("https://klasma.github.io/Logging_2481/kartor/A 38475-2023 karta.png", "A 38475-2023")</f>
        <v/>
      </c>
      <c r="V70">
        <f>HYPERLINK("https://klasma.github.io/Logging_2481/klagomål/A 38475-2023 FSC-klagomål.docx", "A 38475-2023")</f>
        <v/>
      </c>
      <c r="W70">
        <f>HYPERLINK("https://klasma.github.io/Logging_2481/klagomålsmail/A 38475-2023 FSC-klagomål mail.docx", "A 38475-2023")</f>
        <v/>
      </c>
      <c r="X70">
        <f>HYPERLINK("https://klasma.github.io/Logging_2481/tillsyn/A 38475-2023 tillsynsbegäran.docx", "A 38475-2023")</f>
        <v/>
      </c>
      <c r="Y70">
        <f>HYPERLINK("https://klasma.github.io/Logging_2481/tillsynsmail/A 38475-2023 tillsynsbegäran mail.docx", "A 38475-2023")</f>
        <v/>
      </c>
    </row>
    <row r="71" ht="15" customHeight="1">
      <c r="A71" t="inlineStr">
        <is>
          <t>A 15197-2023</t>
        </is>
      </c>
      <c r="B71" s="1" t="n">
        <v>45016</v>
      </c>
      <c r="C71" s="1" t="n">
        <v>45952</v>
      </c>
      <c r="D71" t="inlineStr">
        <is>
          <t>VÄSTERBOTTENS LÄN</t>
        </is>
      </c>
      <c r="E71" t="inlineStr">
        <is>
          <t>LYCKSELE</t>
        </is>
      </c>
      <c r="G71" t="n">
        <v>11.2</v>
      </c>
      <c r="H71" t="n">
        <v>0</v>
      </c>
      <c r="I71" t="n">
        <v>1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Vaddporing
Dropptaggsvamp</t>
        </is>
      </c>
      <c r="S71">
        <f>HYPERLINK("https://klasma.github.io/Logging_2481/artfynd/A 15197-2023 artfynd.xlsx", "A 15197-2023")</f>
        <v/>
      </c>
      <c r="T71">
        <f>HYPERLINK("https://klasma.github.io/Logging_2481/kartor/A 15197-2023 karta.png", "A 15197-2023")</f>
        <v/>
      </c>
      <c r="V71">
        <f>HYPERLINK("https://klasma.github.io/Logging_2481/klagomål/A 15197-2023 FSC-klagomål.docx", "A 15197-2023")</f>
        <v/>
      </c>
      <c r="W71">
        <f>HYPERLINK("https://klasma.github.io/Logging_2481/klagomålsmail/A 15197-2023 FSC-klagomål mail.docx", "A 15197-2023")</f>
        <v/>
      </c>
      <c r="X71">
        <f>HYPERLINK("https://klasma.github.io/Logging_2481/tillsyn/A 15197-2023 tillsynsbegäran.docx", "A 15197-2023")</f>
        <v/>
      </c>
      <c r="Y71">
        <f>HYPERLINK("https://klasma.github.io/Logging_2481/tillsynsmail/A 15197-2023 tillsynsbegäran mail.docx", "A 15197-2023")</f>
        <v/>
      </c>
    </row>
    <row r="72" ht="15" customHeight="1">
      <c r="A72" t="inlineStr">
        <is>
          <t>A 37548-2024</t>
        </is>
      </c>
      <c r="B72" s="1" t="n">
        <v>45541.43171296296</v>
      </c>
      <c r="C72" s="1" t="n">
        <v>45952</v>
      </c>
      <c r="D72" t="inlineStr">
        <is>
          <t>VÄSTERBOTTENS LÄN</t>
        </is>
      </c>
      <c r="E72" t="inlineStr">
        <is>
          <t>LYCKSELE</t>
        </is>
      </c>
      <c r="F72" t="inlineStr">
        <is>
          <t>Sveaskog</t>
        </is>
      </c>
      <c r="G72" t="n">
        <v>13.5</v>
      </c>
      <c r="H72" t="n">
        <v>0</v>
      </c>
      <c r="I72" t="n">
        <v>1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2</v>
      </c>
      <c r="R72" s="2" t="inlineStr">
        <is>
          <t>Kolflarnlav
Skarp dropptaggsvamp</t>
        </is>
      </c>
      <c r="S72">
        <f>HYPERLINK("https://klasma.github.io/Logging_2481/artfynd/A 37548-2024 artfynd.xlsx", "A 37548-2024")</f>
        <v/>
      </c>
      <c r="T72">
        <f>HYPERLINK("https://klasma.github.io/Logging_2481/kartor/A 37548-2024 karta.png", "A 37548-2024")</f>
        <v/>
      </c>
      <c r="V72">
        <f>HYPERLINK("https://klasma.github.io/Logging_2481/klagomål/A 37548-2024 FSC-klagomål.docx", "A 37548-2024")</f>
        <v/>
      </c>
      <c r="W72">
        <f>HYPERLINK("https://klasma.github.io/Logging_2481/klagomålsmail/A 37548-2024 FSC-klagomål mail.docx", "A 37548-2024")</f>
        <v/>
      </c>
      <c r="X72">
        <f>HYPERLINK("https://klasma.github.io/Logging_2481/tillsyn/A 37548-2024 tillsynsbegäran.docx", "A 37548-2024")</f>
        <v/>
      </c>
      <c r="Y72">
        <f>HYPERLINK("https://klasma.github.io/Logging_2481/tillsynsmail/A 37548-2024 tillsynsbegäran mail.docx", "A 37548-2024")</f>
        <v/>
      </c>
    </row>
    <row r="73" ht="15" customHeight="1">
      <c r="A73" t="inlineStr">
        <is>
          <t>A 45935-2024</t>
        </is>
      </c>
      <c r="B73" s="1" t="n">
        <v>45580.5121412037</v>
      </c>
      <c r="C73" s="1" t="n">
        <v>45952</v>
      </c>
      <c r="D73" t="inlineStr">
        <is>
          <t>VÄSTERBOTTENS LÄN</t>
        </is>
      </c>
      <c r="E73" t="inlineStr">
        <is>
          <t>LYCKSELE</t>
        </is>
      </c>
      <c r="F73" t="inlineStr">
        <is>
          <t>Sveaskog</t>
        </is>
      </c>
      <c r="G73" t="n">
        <v>2.4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Orange taggsvamp</t>
        </is>
      </c>
      <c r="S73">
        <f>HYPERLINK("https://klasma.github.io/Logging_2481/artfynd/A 45935-2024 artfynd.xlsx", "A 45935-2024")</f>
        <v/>
      </c>
      <c r="T73">
        <f>HYPERLINK("https://klasma.github.io/Logging_2481/kartor/A 45935-2024 karta.png", "A 45935-2024")</f>
        <v/>
      </c>
      <c r="V73">
        <f>HYPERLINK("https://klasma.github.io/Logging_2481/klagomål/A 45935-2024 FSC-klagomål.docx", "A 45935-2024")</f>
        <v/>
      </c>
      <c r="W73">
        <f>HYPERLINK("https://klasma.github.io/Logging_2481/klagomålsmail/A 45935-2024 FSC-klagomål mail.docx", "A 45935-2024")</f>
        <v/>
      </c>
      <c r="X73">
        <f>HYPERLINK("https://klasma.github.io/Logging_2481/tillsyn/A 45935-2024 tillsynsbegäran.docx", "A 45935-2024")</f>
        <v/>
      </c>
      <c r="Y73">
        <f>HYPERLINK("https://klasma.github.io/Logging_2481/tillsynsmail/A 45935-2024 tillsynsbegäran mail.docx", "A 45935-2024")</f>
        <v/>
      </c>
    </row>
    <row r="74" ht="15" customHeight="1">
      <c r="A74" t="inlineStr">
        <is>
          <t>A 9924-2024</t>
        </is>
      </c>
      <c r="B74" s="1" t="n">
        <v>45363</v>
      </c>
      <c r="C74" s="1" t="n">
        <v>45952</v>
      </c>
      <c r="D74" t="inlineStr">
        <is>
          <t>VÄSTERBOTTENS LÄN</t>
        </is>
      </c>
      <c r="E74" t="inlineStr">
        <is>
          <t>LYCKSELE</t>
        </is>
      </c>
      <c r="F74" t="inlineStr">
        <is>
          <t>Sveaskog</t>
        </is>
      </c>
      <c r="G74" t="n">
        <v>5.3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Granticka
Kolflarnlav</t>
        </is>
      </c>
      <c r="S74">
        <f>HYPERLINK("https://klasma.github.io/Logging_2481/artfynd/A 9924-2024 artfynd.xlsx", "A 9924-2024")</f>
        <v/>
      </c>
      <c r="T74">
        <f>HYPERLINK("https://klasma.github.io/Logging_2481/kartor/A 9924-2024 karta.png", "A 9924-2024")</f>
        <v/>
      </c>
      <c r="V74">
        <f>HYPERLINK("https://klasma.github.io/Logging_2481/klagomål/A 9924-2024 FSC-klagomål.docx", "A 9924-2024")</f>
        <v/>
      </c>
      <c r="W74">
        <f>HYPERLINK("https://klasma.github.io/Logging_2481/klagomålsmail/A 9924-2024 FSC-klagomål mail.docx", "A 9924-2024")</f>
        <v/>
      </c>
      <c r="X74">
        <f>HYPERLINK("https://klasma.github.io/Logging_2481/tillsyn/A 9924-2024 tillsynsbegäran.docx", "A 9924-2024")</f>
        <v/>
      </c>
      <c r="Y74">
        <f>HYPERLINK("https://klasma.github.io/Logging_2481/tillsynsmail/A 9924-2024 tillsynsbegäran mail.docx", "A 9924-2024")</f>
        <v/>
      </c>
    </row>
    <row r="75" ht="15" customHeight="1">
      <c r="A75" t="inlineStr">
        <is>
          <t>A 58624-2022</t>
        </is>
      </c>
      <c r="B75" s="1" t="n">
        <v>44902</v>
      </c>
      <c r="C75" s="1" t="n">
        <v>45952</v>
      </c>
      <c r="D75" t="inlineStr">
        <is>
          <t>VÄSTERBOTTENS LÄN</t>
        </is>
      </c>
      <c r="E75" t="inlineStr">
        <is>
          <t>LYCKSELE</t>
        </is>
      </c>
      <c r="F75" t="inlineStr">
        <is>
          <t>Sveaskog</t>
        </is>
      </c>
      <c r="G75" t="n">
        <v>3.2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Blanksvart spiklav
Vedflamlav</t>
        </is>
      </c>
      <c r="S75">
        <f>HYPERLINK("https://klasma.github.io/Logging_2481/artfynd/A 58624-2022 artfynd.xlsx", "A 58624-2022")</f>
        <v/>
      </c>
      <c r="T75">
        <f>HYPERLINK("https://klasma.github.io/Logging_2481/kartor/A 58624-2022 karta.png", "A 58624-2022")</f>
        <v/>
      </c>
      <c r="V75">
        <f>HYPERLINK("https://klasma.github.io/Logging_2481/klagomål/A 58624-2022 FSC-klagomål.docx", "A 58624-2022")</f>
        <v/>
      </c>
      <c r="W75">
        <f>HYPERLINK("https://klasma.github.io/Logging_2481/klagomålsmail/A 58624-2022 FSC-klagomål mail.docx", "A 58624-2022")</f>
        <v/>
      </c>
      <c r="X75">
        <f>HYPERLINK("https://klasma.github.io/Logging_2481/tillsyn/A 58624-2022 tillsynsbegäran.docx", "A 58624-2022")</f>
        <v/>
      </c>
      <c r="Y75">
        <f>HYPERLINK("https://klasma.github.io/Logging_2481/tillsynsmail/A 58624-2022 tillsynsbegäran mail.docx", "A 58624-2022")</f>
        <v/>
      </c>
    </row>
    <row r="76" ht="15" customHeight="1">
      <c r="A76" t="inlineStr">
        <is>
          <t>A 28515-2023</t>
        </is>
      </c>
      <c r="B76" s="1" t="n">
        <v>45103</v>
      </c>
      <c r="C76" s="1" t="n">
        <v>45952</v>
      </c>
      <c r="D76" t="inlineStr">
        <is>
          <t>VÄSTERBOTTENS LÄN</t>
        </is>
      </c>
      <c r="E76" t="inlineStr">
        <is>
          <t>LYCKSELE</t>
        </is>
      </c>
      <c r="F76" t="inlineStr">
        <is>
          <t>Sveaskog</t>
        </is>
      </c>
      <c r="G76" t="n">
        <v>10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Lunglav
Tallticka</t>
        </is>
      </c>
      <c r="S76">
        <f>HYPERLINK("https://klasma.github.io/Logging_2481/artfynd/A 28515-2023 artfynd.xlsx", "A 28515-2023")</f>
        <v/>
      </c>
      <c r="T76">
        <f>HYPERLINK("https://klasma.github.io/Logging_2481/kartor/A 28515-2023 karta.png", "A 28515-2023")</f>
        <v/>
      </c>
      <c r="V76">
        <f>HYPERLINK("https://klasma.github.io/Logging_2481/klagomål/A 28515-2023 FSC-klagomål.docx", "A 28515-2023")</f>
        <v/>
      </c>
      <c r="W76">
        <f>HYPERLINK("https://klasma.github.io/Logging_2481/klagomålsmail/A 28515-2023 FSC-klagomål mail.docx", "A 28515-2023")</f>
        <v/>
      </c>
      <c r="X76">
        <f>HYPERLINK("https://klasma.github.io/Logging_2481/tillsyn/A 28515-2023 tillsynsbegäran.docx", "A 28515-2023")</f>
        <v/>
      </c>
      <c r="Y76">
        <f>HYPERLINK("https://klasma.github.io/Logging_2481/tillsynsmail/A 28515-2023 tillsynsbegäran mail.docx", "A 28515-2023")</f>
        <v/>
      </c>
    </row>
    <row r="77" ht="15" customHeight="1">
      <c r="A77" t="inlineStr">
        <is>
          <t>A 7702-2025</t>
        </is>
      </c>
      <c r="B77" s="1" t="n">
        <v>45706.4094212963</v>
      </c>
      <c r="C77" s="1" t="n">
        <v>45952</v>
      </c>
      <c r="D77" t="inlineStr">
        <is>
          <t>VÄSTERBOTTENS LÄN</t>
        </is>
      </c>
      <c r="E77" t="inlineStr">
        <is>
          <t>LYCKSELE</t>
        </is>
      </c>
      <c r="G77" t="n">
        <v>3.5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Garnlav
Kungsfågel</t>
        </is>
      </c>
      <c r="S77">
        <f>HYPERLINK("https://klasma.github.io/Logging_2481/artfynd/A 7702-2025 artfynd.xlsx", "A 7702-2025")</f>
        <v/>
      </c>
      <c r="T77">
        <f>HYPERLINK("https://klasma.github.io/Logging_2481/kartor/A 7702-2025 karta.png", "A 7702-2025")</f>
        <v/>
      </c>
      <c r="V77">
        <f>HYPERLINK("https://klasma.github.io/Logging_2481/klagomål/A 7702-2025 FSC-klagomål.docx", "A 7702-2025")</f>
        <v/>
      </c>
      <c r="W77">
        <f>HYPERLINK("https://klasma.github.io/Logging_2481/klagomålsmail/A 7702-2025 FSC-klagomål mail.docx", "A 7702-2025")</f>
        <v/>
      </c>
      <c r="X77">
        <f>HYPERLINK("https://klasma.github.io/Logging_2481/tillsyn/A 7702-2025 tillsynsbegäran.docx", "A 7702-2025")</f>
        <v/>
      </c>
      <c r="Y77">
        <f>HYPERLINK("https://klasma.github.io/Logging_2481/tillsynsmail/A 7702-2025 tillsynsbegäran mail.docx", "A 7702-2025")</f>
        <v/>
      </c>
      <c r="Z77">
        <f>HYPERLINK("https://klasma.github.io/Logging_2481/fåglar/A 7702-2025 prioriterade fågelarter.docx", "A 7702-2025")</f>
        <v/>
      </c>
    </row>
    <row r="78" ht="15" customHeight="1">
      <c r="A78" t="inlineStr">
        <is>
          <t>A 38776-2025</t>
        </is>
      </c>
      <c r="B78" s="1" t="n">
        <v>45887.42761574074</v>
      </c>
      <c r="C78" s="1" t="n">
        <v>45952</v>
      </c>
      <c r="D78" t="inlineStr">
        <is>
          <t>VÄSTERBOTTENS LÄN</t>
        </is>
      </c>
      <c r="E78" t="inlineStr">
        <is>
          <t>LYCKSELE</t>
        </is>
      </c>
      <c r="F78" t="inlineStr">
        <is>
          <t>Sveaskog</t>
        </is>
      </c>
      <c r="G78" t="n">
        <v>7.5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Kolflarnlav
Dropptaggsvamp</t>
        </is>
      </c>
      <c r="S78">
        <f>HYPERLINK("https://klasma.github.io/Logging_2481/artfynd/A 38776-2025 artfynd.xlsx", "A 38776-2025")</f>
        <v/>
      </c>
      <c r="T78">
        <f>HYPERLINK("https://klasma.github.io/Logging_2481/kartor/A 38776-2025 karta.png", "A 38776-2025")</f>
        <v/>
      </c>
      <c r="V78">
        <f>HYPERLINK("https://klasma.github.io/Logging_2481/klagomål/A 38776-2025 FSC-klagomål.docx", "A 38776-2025")</f>
        <v/>
      </c>
      <c r="W78">
        <f>HYPERLINK("https://klasma.github.io/Logging_2481/klagomålsmail/A 38776-2025 FSC-klagomål mail.docx", "A 38776-2025")</f>
        <v/>
      </c>
      <c r="X78">
        <f>HYPERLINK("https://klasma.github.io/Logging_2481/tillsyn/A 38776-2025 tillsynsbegäran.docx", "A 38776-2025")</f>
        <v/>
      </c>
      <c r="Y78">
        <f>HYPERLINK("https://klasma.github.io/Logging_2481/tillsynsmail/A 38776-2025 tillsynsbegäran mail.docx", "A 38776-2025")</f>
        <v/>
      </c>
    </row>
    <row r="79" ht="15" customHeight="1">
      <c r="A79" t="inlineStr">
        <is>
          <t>A 47744-2025</t>
        </is>
      </c>
      <c r="B79" s="1" t="n">
        <v>45931.64844907408</v>
      </c>
      <c r="C79" s="1" t="n">
        <v>45952</v>
      </c>
      <c r="D79" t="inlineStr">
        <is>
          <t>VÄSTERBOTTENS LÄN</t>
        </is>
      </c>
      <c r="E79" t="inlineStr">
        <is>
          <t>LYCKSELE</t>
        </is>
      </c>
      <c r="F79" t="inlineStr">
        <is>
          <t>Sveaskog</t>
        </is>
      </c>
      <c r="G79" t="n">
        <v>4.1</v>
      </c>
      <c r="H79" t="n">
        <v>0</v>
      </c>
      <c r="I79" t="n">
        <v>0</v>
      </c>
      <c r="J79" t="n">
        <v>2</v>
      </c>
      <c r="K79" t="n">
        <v>0</v>
      </c>
      <c r="L79" t="n">
        <v>0</v>
      </c>
      <c r="M79" t="n">
        <v>0</v>
      </c>
      <c r="N79" t="n">
        <v>0</v>
      </c>
      <c r="O79" t="n">
        <v>2</v>
      </c>
      <c r="P79" t="n">
        <v>0</v>
      </c>
      <c r="Q79" t="n">
        <v>2</v>
      </c>
      <c r="R79" s="2" t="inlineStr">
        <is>
          <t>Kolflarnlav
Mörk kolflarnlav</t>
        </is>
      </c>
      <c r="S79">
        <f>HYPERLINK("https://klasma.github.io/Logging_2481/artfynd/A 47744-2025 artfynd.xlsx", "A 47744-2025")</f>
        <v/>
      </c>
      <c r="T79">
        <f>HYPERLINK("https://klasma.github.io/Logging_2481/kartor/A 47744-2025 karta.png", "A 47744-2025")</f>
        <v/>
      </c>
      <c r="V79">
        <f>HYPERLINK("https://klasma.github.io/Logging_2481/klagomål/A 47744-2025 FSC-klagomål.docx", "A 47744-2025")</f>
        <v/>
      </c>
      <c r="W79">
        <f>HYPERLINK("https://klasma.github.io/Logging_2481/klagomålsmail/A 47744-2025 FSC-klagomål mail.docx", "A 47744-2025")</f>
        <v/>
      </c>
      <c r="X79">
        <f>HYPERLINK("https://klasma.github.io/Logging_2481/tillsyn/A 47744-2025 tillsynsbegäran.docx", "A 47744-2025")</f>
        <v/>
      </c>
      <c r="Y79">
        <f>HYPERLINK("https://klasma.github.io/Logging_2481/tillsynsmail/A 47744-2025 tillsynsbegäran mail.docx", "A 47744-2025")</f>
        <v/>
      </c>
    </row>
    <row r="80" ht="15" customHeight="1">
      <c r="A80" t="inlineStr">
        <is>
          <t>A 22363-2025</t>
        </is>
      </c>
      <c r="B80" s="1" t="n">
        <v>45786.46878472222</v>
      </c>
      <c r="C80" s="1" t="n">
        <v>45952</v>
      </c>
      <c r="D80" t="inlineStr">
        <is>
          <t>VÄSTERBOTTENS LÄN</t>
        </is>
      </c>
      <c r="E80" t="inlineStr">
        <is>
          <t>LYCKSELE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2</v>
      </c>
      <c r="K80" t="n">
        <v>0</v>
      </c>
      <c r="L80" t="n">
        <v>0</v>
      </c>
      <c r="M80" t="n">
        <v>0</v>
      </c>
      <c r="N80" t="n">
        <v>0</v>
      </c>
      <c r="O80" t="n">
        <v>2</v>
      </c>
      <c r="P80" t="n">
        <v>0</v>
      </c>
      <c r="Q80" t="n">
        <v>2</v>
      </c>
      <c r="R80" s="2" t="inlineStr">
        <is>
          <t>Blå taggsvamp
Orange taggsvamp</t>
        </is>
      </c>
      <c r="S80">
        <f>HYPERLINK("https://klasma.github.io/Logging_2481/artfynd/A 22363-2025 artfynd.xlsx", "A 22363-2025")</f>
        <v/>
      </c>
      <c r="T80">
        <f>HYPERLINK("https://klasma.github.io/Logging_2481/kartor/A 22363-2025 karta.png", "A 22363-2025")</f>
        <v/>
      </c>
      <c r="V80">
        <f>HYPERLINK("https://klasma.github.io/Logging_2481/klagomål/A 22363-2025 FSC-klagomål.docx", "A 22363-2025")</f>
        <v/>
      </c>
      <c r="W80">
        <f>HYPERLINK("https://klasma.github.io/Logging_2481/klagomålsmail/A 22363-2025 FSC-klagomål mail.docx", "A 22363-2025")</f>
        <v/>
      </c>
      <c r="X80">
        <f>HYPERLINK("https://klasma.github.io/Logging_2481/tillsyn/A 22363-2025 tillsynsbegäran.docx", "A 22363-2025")</f>
        <v/>
      </c>
      <c r="Y80">
        <f>HYPERLINK("https://klasma.github.io/Logging_2481/tillsynsmail/A 22363-2025 tillsynsbegäran mail.docx", "A 22363-2025")</f>
        <v/>
      </c>
    </row>
    <row r="81" ht="15" customHeight="1">
      <c r="A81" t="inlineStr">
        <is>
          <t>A 22360-2025</t>
        </is>
      </c>
      <c r="B81" s="1" t="n">
        <v>45786.46645833334</v>
      </c>
      <c r="C81" s="1" t="n">
        <v>45952</v>
      </c>
      <c r="D81" t="inlineStr">
        <is>
          <t>VÄSTERBOTTENS LÄN</t>
        </is>
      </c>
      <c r="E81" t="inlineStr">
        <is>
          <t>LYCKSELE</t>
        </is>
      </c>
      <c r="F81" t="inlineStr">
        <is>
          <t>Sveaskog</t>
        </is>
      </c>
      <c r="G81" t="n">
        <v>2.2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Blå taggsvamp
Orange taggsvamp</t>
        </is>
      </c>
      <c r="S81">
        <f>HYPERLINK("https://klasma.github.io/Logging_2481/artfynd/A 22360-2025 artfynd.xlsx", "A 22360-2025")</f>
        <v/>
      </c>
      <c r="T81">
        <f>HYPERLINK("https://klasma.github.io/Logging_2481/kartor/A 22360-2025 karta.png", "A 22360-2025")</f>
        <v/>
      </c>
      <c r="V81">
        <f>HYPERLINK("https://klasma.github.io/Logging_2481/klagomål/A 22360-2025 FSC-klagomål.docx", "A 22360-2025")</f>
        <v/>
      </c>
      <c r="W81">
        <f>HYPERLINK("https://klasma.github.io/Logging_2481/klagomålsmail/A 22360-2025 FSC-klagomål mail.docx", "A 22360-2025")</f>
        <v/>
      </c>
      <c r="X81">
        <f>HYPERLINK("https://klasma.github.io/Logging_2481/tillsyn/A 22360-2025 tillsynsbegäran.docx", "A 22360-2025")</f>
        <v/>
      </c>
      <c r="Y81">
        <f>HYPERLINK("https://klasma.github.io/Logging_2481/tillsynsmail/A 22360-2025 tillsynsbegäran mail.docx", "A 22360-2025")</f>
        <v/>
      </c>
    </row>
    <row r="82" ht="15" customHeight="1">
      <c r="A82" t="inlineStr">
        <is>
          <t>A 22629-2025</t>
        </is>
      </c>
      <c r="B82" s="1" t="n">
        <v>45789.43789351852</v>
      </c>
      <c r="C82" s="1" t="n">
        <v>45952</v>
      </c>
      <c r="D82" t="inlineStr">
        <is>
          <t>VÄSTERBOTTENS LÄN</t>
        </is>
      </c>
      <c r="E82" t="inlineStr">
        <is>
          <t>LYCKSELE</t>
        </is>
      </c>
      <c r="F82" t="inlineStr">
        <is>
          <t>Sveaskog</t>
        </is>
      </c>
      <c r="G82" t="n">
        <v>11.3</v>
      </c>
      <c r="H82" t="n">
        <v>0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Kolflarnlav
Mörk kolflarnlav</t>
        </is>
      </c>
      <c r="S82">
        <f>HYPERLINK("https://klasma.github.io/Logging_2481/artfynd/A 22629-2025 artfynd.xlsx", "A 22629-2025")</f>
        <v/>
      </c>
      <c r="T82">
        <f>HYPERLINK("https://klasma.github.io/Logging_2481/kartor/A 22629-2025 karta.png", "A 22629-2025")</f>
        <v/>
      </c>
      <c r="V82">
        <f>HYPERLINK("https://klasma.github.io/Logging_2481/klagomål/A 22629-2025 FSC-klagomål.docx", "A 22629-2025")</f>
        <v/>
      </c>
      <c r="W82">
        <f>HYPERLINK("https://klasma.github.io/Logging_2481/klagomålsmail/A 22629-2025 FSC-klagomål mail.docx", "A 22629-2025")</f>
        <v/>
      </c>
      <c r="X82">
        <f>HYPERLINK("https://klasma.github.io/Logging_2481/tillsyn/A 22629-2025 tillsynsbegäran.docx", "A 22629-2025")</f>
        <v/>
      </c>
      <c r="Y82">
        <f>HYPERLINK("https://klasma.github.io/Logging_2481/tillsynsmail/A 22629-2025 tillsynsbegäran mail.docx", "A 22629-2025")</f>
        <v/>
      </c>
    </row>
    <row r="83" ht="15" customHeight="1">
      <c r="A83" t="inlineStr">
        <is>
          <t>A 2893-2023</t>
        </is>
      </c>
      <c r="B83" s="1" t="n">
        <v>44945.50438657407</v>
      </c>
      <c r="C83" s="1" t="n">
        <v>45952</v>
      </c>
      <c r="D83" t="inlineStr">
        <is>
          <t>VÄSTERBOTTENS LÄN</t>
        </is>
      </c>
      <c r="E83" t="inlineStr">
        <is>
          <t>LYCKSELE</t>
        </is>
      </c>
      <c r="F83" t="inlineStr">
        <is>
          <t>Kyrkan</t>
        </is>
      </c>
      <c r="G83" t="n">
        <v>3.5</v>
      </c>
      <c r="H83" t="n">
        <v>0</v>
      </c>
      <c r="I83" t="n">
        <v>1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Garnlav
Dropptaggsvamp</t>
        </is>
      </c>
      <c r="S83">
        <f>HYPERLINK("https://klasma.github.io/Logging_2481/artfynd/A 2893-2023 artfynd.xlsx", "A 2893-2023")</f>
        <v/>
      </c>
      <c r="T83">
        <f>HYPERLINK("https://klasma.github.io/Logging_2481/kartor/A 2893-2023 karta.png", "A 2893-2023")</f>
        <v/>
      </c>
      <c r="V83">
        <f>HYPERLINK("https://klasma.github.io/Logging_2481/klagomål/A 2893-2023 FSC-klagomål.docx", "A 2893-2023")</f>
        <v/>
      </c>
      <c r="W83">
        <f>HYPERLINK("https://klasma.github.io/Logging_2481/klagomålsmail/A 2893-2023 FSC-klagomål mail.docx", "A 2893-2023")</f>
        <v/>
      </c>
      <c r="X83">
        <f>HYPERLINK("https://klasma.github.io/Logging_2481/tillsyn/A 2893-2023 tillsynsbegäran.docx", "A 2893-2023")</f>
        <v/>
      </c>
      <c r="Y83">
        <f>HYPERLINK("https://klasma.github.io/Logging_2481/tillsynsmail/A 2893-2023 tillsynsbegäran mail.docx", "A 2893-2023")</f>
        <v/>
      </c>
    </row>
    <row r="84" ht="15" customHeight="1">
      <c r="A84" t="inlineStr">
        <is>
          <t>A 23341-2025</t>
        </is>
      </c>
      <c r="B84" s="1" t="n">
        <v>45791.65668981482</v>
      </c>
      <c r="C84" s="1" t="n">
        <v>45952</v>
      </c>
      <c r="D84" t="inlineStr">
        <is>
          <t>VÄSTERBOTTENS LÄN</t>
        </is>
      </c>
      <c r="E84" t="inlineStr">
        <is>
          <t>LYCKSELE</t>
        </is>
      </c>
      <c r="F84" t="inlineStr">
        <is>
          <t>Sveaskog</t>
        </is>
      </c>
      <c r="G84" t="n">
        <v>2.2</v>
      </c>
      <c r="H84" t="n">
        <v>0</v>
      </c>
      <c r="I84" t="n">
        <v>0</v>
      </c>
      <c r="J84" t="n">
        <v>2</v>
      </c>
      <c r="K84" t="n">
        <v>0</v>
      </c>
      <c r="L84" t="n">
        <v>0</v>
      </c>
      <c r="M84" t="n">
        <v>0</v>
      </c>
      <c r="N84" t="n">
        <v>0</v>
      </c>
      <c r="O84" t="n">
        <v>2</v>
      </c>
      <c r="P84" t="n">
        <v>0</v>
      </c>
      <c r="Q84" t="n">
        <v>2</v>
      </c>
      <c r="R84" s="2" t="inlineStr">
        <is>
          <t>Blå taggsvamp
Orange taggsvamp</t>
        </is>
      </c>
      <c r="S84">
        <f>HYPERLINK("https://klasma.github.io/Logging_2481/artfynd/A 23341-2025 artfynd.xlsx", "A 23341-2025")</f>
        <v/>
      </c>
      <c r="T84">
        <f>HYPERLINK("https://klasma.github.io/Logging_2481/kartor/A 23341-2025 karta.png", "A 23341-2025")</f>
        <v/>
      </c>
      <c r="V84">
        <f>HYPERLINK("https://klasma.github.io/Logging_2481/klagomål/A 23341-2025 FSC-klagomål.docx", "A 23341-2025")</f>
        <v/>
      </c>
      <c r="W84">
        <f>HYPERLINK("https://klasma.github.io/Logging_2481/klagomålsmail/A 23341-2025 FSC-klagomål mail.docx", "A 23341-2025")</f>
        <v/>
      </c>
      <c r="X84">
        <f>HYPERLINK("https://klasma.github.io/Logging_2481/tillsyn/A 23341-2025 tillsynsbegäran.docx", "A 23341-2025")</f>
        <v/>
      </c>
      <c r="Y84">
        <f>HYPERLINK("https://klasma.github.io/Logging_2481/tillsynsmail/A 23341-2025 tillsynsbegäran mail.docx", "A 23341-2025")</f>
        <v/>
      </c>
    </row>
    <row r="85" ht="15" customHeight="1">
      <c r="A85" t="inlineStr">
        <is>
          <t>A 23328-2025</t>
        </is>
      </c>
      <c r="B85" s="1" t="n">
        <v>45791.63113425926</v>
      </c>
      <c r="C85" s="1" t="n">
        <v>45952</v>
      </c>
      <c r="D85" t="inlineStr">
        <is>
          <t>VÄSTERBOTTENS LÄN</t>
        </is>
      </c>
      <c r="E85" t="inlineStr">
        <is>
          <t>LYCKSELE</t>
        </is>
      </c>
      <c r="F85" t="inlineStr">
        <is>
          <t>Sveaskog</t>
        </is>
      </c>
      <c r="G85" t="n">
        <v>2.2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Blå taggsvamp
Orange taggsvamp</t>
        </is>
      </c>
      <c r="S85">
        <f>HYPERLINK("https://klasma.github.io/Logging_2481/artfynd/A 23328-2025 artfynd.xlsx", "A 23328-2025")</f>
        <v/>
      </c>
      <c r="T85">
        <f>HYPERLINK("https://klasma.github.io/Logging_2481/kartor/A 23328-2025 karta.png", "A 23328-2025")</f>
        <v/>
      </c>
      <c r="V85">
        <f>HYPERLINK("https://klasma.github.io/Logging_2481/klagomål/A 23328-2025 FSC-klagomål.docx", "A 23328-2025")</f>
        <v/>
      </c>
      <c r="W85">
        <f>HYPERLINK("https://klasma.github.io/Logging_2481/klagomålsmail/A 23328-2025 FSC-klagomål mail.docx", "A 23328-2025")</f>
        <v/>
      </c>
      <c r="X85">
        <f>HYPERLINK("https://klasma.github.io/Logging_2481/tillsyn/A 23328-2025 tillsynsbegäran.docx", "A 23328-2025")</f>
        <v/>
      </c>
      <c r="Y85">
        <f>HYPERLINK("https://klasma.github.io/Logging_2481/tillsynsmail/A 23328-2025 tillsynsbegäran mail.docx", "A 23328-2025")</f>
        <v/>
      </c>
    </row>
    <row r="86" ht="15" customHeight="1">
      <c r="A86" t="inlineStr">
        <is>
          <t>A 23862-2025</t>
        </is>
      </c>
      <c r="B86" s="1" t="n">
        <v>45793.66493055555</v>
      </c>
      <c r="C86" s="1" t="n">
        <v>45952</v>
      </c>
      <c r="D86" t="inlineStr">
        <is>
          <t>VÄSTERBOTTENS LÄN</t>
        </is>
      </c>
      <c r="E86" t="inlineStr">
        <is>
          <t>LYCKSELE</t>
        </is>
      </c>
      <c r="F86" t="inlineStr">
        <is>
          <t>Sveaskog</t>
        </is>
      </c>
      <c r="G86" t="n">
        <v>4.7</v>
      </c>
      <c r="H86" t="n">
        <v>2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Fläcknycklar
Revlummer</t>
        </is>
      </c>
      <c r="S86">
        <f>HYPERLINK("https://klasma.github.io/Logging_2481/artfynd/A 23862-2025 artfynd.xlsx", "A 23862-2025")</f>
        <v/>
      </c>
      <c r="T86">
        <f>HYPERLINK("https://klasma.github.io/Logging_2481/kartor/A 23862-2025 karta.png", "A 23862-2025")</f>
        <v/>
      </c>
      <c r="V86">
        <f>HYPERLINK("https://klasma.github.io/Logging_2481/klagomål/A 23862-2025 FSC-klagomål.docx", "A 23862-2025")</f>
        <v/>
      </c>
      <c r="W86">
        <f>HYPERLINK("https://klasma.github.io/Logging_2481/klagomålsmail/A 23862-2025 FSC-klagomål mail.docx", "A 23862-2025")</f>
        <v/>
      </c>
      <c r="X86">
        <f>HYPERLINK("https://klasma.github.io/Logging_2481/tillsyn/A 23862-2025 tillsynsbegäran.docx", "A 23862-2025")</f>
        <v/>
      </c>
      <c r="Y86">
        <f>HYPERLINK("https://klasma.github.io/Logging_2481/tillsynsmail/A 23862-2025 tillsynsbegäran mail.docx", "A 23862-2025")</f>
        <v/>
      </c>
    </row>
    <row r="87" ht="15" customHeight="1">
      <c r="A87" t="inlineStr">
        <is>
          <t>A 49550-2025</t>
        </is>
      </c>
      <c r="B87" s="1" t="n">
        <v>45939.44409722222</v>
      </c>
      <c r="C87" s="1" t="n">
        <v>45952</v>
      </c>
      <c r="D87" t="inlineStr">
        <is>
          <t>VÄSTERBOTTENS LÄN</t>
        </is>
      </c>
      <c r="E87" t="inlineStr">
        <is>
          <t>LYCKSELE</t>
        </is>
      </c>
      <c r="F87" t="inlineStr">
        <is>
          <t>Sveaskog</t>
        </is>
      </c>
      <c r="G87" t="n">
        <v>4.5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Kolflarnlav
Mörk kolflarnlav</t>
        </is>
      </c>
      <c r="S87">
        <f>HYPERLINK("https://klasma.github.io/Logging_2481/artfynd/A 49550-2025 artfynd.xlsx", "A 49550-2025")</f>
        <v/>
      </c>
      <c r="T87">
        <f>HYPERLINK("https://klasma.github.io/Logging_2481/kartor/A 49550-2025 karta.png", "A 49550-2025")</f>
        <v/>
      </c>
      <c r="V87">
        <f>HYPERLINK("https://klasma.github.io/Logging_2481/klagomål/A 49550-2025 FSC-klagomål.docx", "A 49550-2025")</f>
        <v/>
      </c>
      <c r="W87">
        <f>HYPERLINK("https://klasma.github.io/Logging_2481/klagomålsmail/A 49550-2025 FSC-klagomål mail.docx", "A 49550-2025")</f>
        <v/>
      </c>
      <c r="X87">
        <f>HYPERLINK("https://klasma.github.io/Logging_2481/tillsyn/A 49550-2025 tillsynsbegäran.docx", "A 49550-2025")</f>
        <v/>
      </c>
      <c r="Y87">
        <f>HYPERLINK("https://klasma.github.io/Logging_2481/tillsynsmail/A 49550-2025 tillsynsbegäran mail.docx", "A 49550-2025")</f>
        <v/>
      </c>
    </row>
    <row r="88" ht="15" customHeight="1">
      <c r="A88" t="inlineStr">
        <is>
          <t>A 49553-2025</t>
        </is>
      </c>
      <c r="B88" s="1" t="n">
        <v>45939.4471875</v>
      </c>
      <c r="C88" s="1" t="n">
        <v>45952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26.1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Kolflarnlav
Mörk kolflarnlav</t>
        </is>
      </c>
      <c r="S88">
        <f>HYPERLINK("https://klasma.github.io/Logging_2481/artfynd/A 49553-2025 artfynd.xlsx", "A 49553-2025")</f>
        <v/>
      </c>
      <c r="T88">
        <f>HYPERLINK("https://klasma.github.io/Logging_2481/kartor/A 49553-2025 karta.png", "A 49553-2025")</f>
        <v/>
      </c>
      <c r="V88">
        <f>HYPERLINK("https://klasma.github.io/Logging_2481/klagomål/A 49553-2025 FSC-klagomål.docx", "A 49553-2025")</f>
        <v/>
      </c>
      <c r="W88">
        <f>HYPERLINK("https://klasma.github.io/Logging_2481/klagomålsmail/A 49553-2025 FSC-klagomål mail.docx", "A 49553-2025")</f>
        <v/>
      </c>
      <c r="X88">
        <f>HYPERLINK("https://klasma.github.io/Logging_2481/tillsyn/A 49553-2025 tillsynsbegäran.docx", "A 49553-2025")</f>
        <v/>
      </c>
      <c r="Y88">
        <f>HYPERLINK("https://klasma.github.io/Logging_2481/tillsynsmail/A 49553-2025 tillsynsbegäran mail.docx", "A 49553-2025")</f>
        <v/>
      </c>
    </row>
    <row r="89" ht="15" customHeight="1">
      <c r="A89" t="inlineStr">
        <is>
          <t>A 49364-2025</t>
        </is>
      </c>
      <c r="B89" s="1" t="n">
        <v>45938.62302083334</v>
      </c>
      <c r="C89" s="1" t="n">
        <v>45952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7.9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Kolflarnlav
Mörk kolflarnlav</t>
        </is>
      </c>
      <c r="S89">
        <f>HYPERLINK("https://klasma.github.io/Logging_2481/artfynd/A 49364-2025 artfynd.xlsx", "A 49364-2025")</f>
        <v/>
      </c>
      <c r="T89">
        <f>HYPERLINK("https://klasma.github.io/Logging_2481/kartor/A 49364-2025 karta.png", "A 49364-2025")</f>
        <v/>
      </c>
      <c r="V89">
        <f>HYPERLINK("https://klasma.github.io/Logging_2481/klagomål/A 49364-2025 FSC-klagomål.docx", "A 49364-2025")</f>
        <v/>
      </c>
      <c r="W89">
        <f>HYPERLINK("https://klasma.github.io/Logging_2481/klagomålsmail/A 49364-2025 FSC-klagomål mail.docx", "A 49364-2025")</f>
        <v/>
      </c>
      <c r="X89">
        <f>HYPERLINK("https://klasma.github.io/Logging_2481/tillsyn/A 49364-2025 tillsynsbegäran.docx", "A 49364-2025")</f>
        <v/>
      </c>
      <c r="Y89">
        <f>HYPERLINK("https://klasma.github.io/Logging_2481/tillsynsmail/A 49364-2025 tillsynsbegäran mail.docx", "A 49364-2025")</f>
        <v/>
      </c>
    </row>
    <row r="90" ht="15" customHeight="1">
      <c r="A90" t="inlineStr">
        <is>
          <t>A 16914-2024</t>
        </is>
      </c>
      <c r="B90" s="1" t="n">
        <v>45411</v>
      </c>
      <c r="C90" s="1" t="n">
        <v>45952</v>
      </c>
      <c r="D90" t="inlineStr">
        <is>
          <t>VÄSTERBOTTENS LÄN</t>
        </is>
      </c>
      <c r="E90" t="inlineStr">
        <is>
          <t>LYCKSELE</t>
        </is>
      </c>
      <c r="G90" t="n">
        <v>24.6</v>
      </c>
      <c r="H90" t="n">
        <v>2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2</v>
      </c>
      <c r="R90" s="2" t="inlineStr">
        <is>
          <t>Tretåig hackspett
Lavskrika</t>
        </is>
      </c>
      <c r="S90">
        <f>HYPERLINK("https://klasma.github.io/Logging_2481/artfynd/A 16914-2024 artfynd.xlsx", "A 16914-2024")</f>
        <v/>
      </c>
      <c r="T90">
        <f>HYPERLINK("https://klasma.github.io/Logging_2481/kartor/A 16914-2024 karta.png", "A 16914-2024")</f>
        <v/>
      </c>
      <c r="V90">
        <f>HYPERLINK("https://klasma.github.io/Logging_2481/klagomål/A 16914-2024 FSC-klagomål.docx", "A 16914-2024")</f>
        <v/>
      </c>
      <c r="W90">
        <f>HYPERLINK("https://klasma.github.io/Logging_2481/klagomålsmail/A 16914-2024 FSC-klagomål mail.docx", "A 16914-2024")</f>
        <v/>
      </c>
      <c r="X90">
        <f>HYPERLINK("https://klasma.github.io/Logging_2481/tillsyn/A 16914-2024 tillsynsbegäran.docx", "A 16914-2024")</f>
        <v/>
      </c>
      <c r="Y90">
        <f>HYPERLINK("https://klasma.github.io/Logging_2481/tillsynsmail/A 16914-2024 tillsynsbegäran mail.docx", "A 16914-2024")</f>
        <v/>
      </c>
      <c r="Z90">
        <f>HYPERLINK("https://klasma.github.io/Logging_2481/fåglar/A 16914-2024 prioriterade fågelarter.docx", "A 16914-2024")</f>
        <v/>
      </c>
    </row>
    <row r="91" ht="15" customHeight="1">
      <c r="A91" t="inlineStr">
        <is>
          <t>A 43664-2025</t>
        </is>
      </c>
      <c r="B91" s="1" t="n">
        <v>45912</v>
      </c>
      <c r="C91" s="1" t="n">
        <v>45952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23.7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Kolflarnlav
Mörk kolflarnlav</t>
        </is>
      </c>
      <c r="S91">
        <f>HYPERLINK("https://klasma.github.io/Logging_2481/artfynd/A 43664-2025 artfynd.xlsx", "A 43664-2025")</f>
        <v/>
      </c>
      <c r="T91">
        <f>HYPERLINK("https://klasma.github.io/Logging_2481/kartor/A 43664-2025 karta.png", "A 43664-2025")</f>
        <v/>
      </c>
      <c r="V91">
        <f>HYPERLINK("https://klasma.github.io/Logging_2481/klagomål/A 43664-2025 FSC-klagomål.docx", "A 43664-2025")</f>
        <v/>
      </c>
      <c r="W91">
        <f>HYPERLINK("https://klasma.github.io/Logging_2481/klagomålsmail/A 43664-2025 FSC-klagomål mail.docx", "A 43664-2025")</f>
        <v/>
      </c>
      <c r="X91">
        <f>HYPERLINK("https://klasma.github.io/Logging_2481/tillsyn/A 43664-2025 tillsynsbegäran.docx", "A 43664-2025")</f>
        <v/>
      </c>
      <c r="Y91">
        <f>HYPERLINK("https://klasma.github.io/Logging_2481/tillsynsmail/A 43664-2025 tillsynsbegäran mail.docx", "A 43664-2025")</f>
        <v/>
      </c>
    </row>
    <row r="92" ht="15" customHeight="1">
      <c r="A92" t="inlineStr">
        <is>
          <t>A 26271-2025</t>
        </is>
      </c>
      <c r="B92" s="1" t="n">
        <v>45805.59424768519</v>
      </c>
      <c r="C92" s="1" t="n">
        <v>45952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1.7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Gammelgransskål
Lunglav</t>
        </is>
      </c>
      <c r="S92">
        <f>HYPERLINK("https://klasma.github.io/Logging_2481/artfynd/A 26271-2025 artfynd.xlsx", "A 26271-2025")</f>
        <v/>
      </c>
      <c r="T92">
        <f>HYPERLINK("https://klasma.github.io/Logging_2481/kartor/A 26271-2025 karta.png", "A 26271-2025")</f>
        <v/>
      </c>
      <c r="V92">
        <f>HYPERLINK("https://klasma.github.io/Logging_2481/klagomål/A 26271-2025 FSC-klagomål.docx", "A 26271-2025")</f>
        <v/>
      </c>
      <c r="W92">
        <f>HYPERLINK("https://klasma.github.io/Logging_2481/klagomålsmail/A 26271-2025 FSC-klagomål mail.docx", "A 26271-2025")</f>
        <v/>
      </c>
      <c r="X92">
        <f>HYPERLINK("https://klasma.github.io/Logging_2481/tillsyn/A 26271-2025 tillsynsbegäran.docx", "A 26271-2025")</f>
        <v/>
      </c>
      <c r="Y92">
        <f>HYPERLINK("https://klasma.github.io/Logging_2481/tillsynsmail/A 26271-2025 tillsynsbegäran mail.docx", "A 26271-2025")</f>
        <v/>
      </c>
    </row>
    <row r="93" ht="15" customHeight="1">
      <c r="A93" t="inlineStr">
        <is>
          <t>A 49740-2025</t>
        </is>
      </c>
      <c r="B93" s="1" t="n">
        <v>45940.33377314815</v>
      </c>
      <c r="C93" s="1" t="n">
        <v>45952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13.8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Kolflarnlav
Mörk kolflarnlav</t>
        </is>
      </c>
      <c r="S93">
        <f>HYPERLINK("https://klasma.github.io/Logging_2481/artfynd/A 49740-2025 artfynd.xlsx", "A 49740-2025")</f>
        <v/>
      </c>
      <c r="T93">
        <f>HYPERLINK("https://klasma.github.io/Logging_2481/kartor/A 49740-2025 karta.png", "A 49740-2025")</f>
        <v/>
      </c>
      <c r="V93">
        <f>HYPERLINK("https://klasma.github.io/Logging_2481/klagomål/A 49740-2025 FSC-klagomål.docx", "A 49740-2025")</f>
        <v/>
      </c>
      <c r="W93">
        <f>HYPERLINK("https://klasma.github.io/Logging_2481/klagomålsmail/A 49740-2025 FSC-klagomål mail.docx", "A 49740-2025")</f>
        <v/>
      </c>
      <c r="X93">
        <f>HYPERLINK("https://klasma.github.io/Logging_2481/tillsyn/A 49740-2025 tillsynsbegäran.docx", "A 49740-2025")</f>
        <v/>
      </c>
      <c r="Y93">
        <f>HYPERLINK("https://klasma.github.io/Logging_2481/tillsynsmail/A 49740-2025 tillsynsbegäran mail.docx", "A 49740-2025")</f>
        <v/>
      </c>
    </row>
    <row r="94" ht="15" customHeight="1">
      <c r="A94" t="inlineStr">
        <is>
          <t>A 42159-2025</t>
        </is>
      </c>
      <c r="B94" s="1" t="n">
        <v>45904.41127314815</v>
      </c>
      <c r="C94" s="1" t="n">
        <v>45952</v>
      </c>
      <c r="D94" t="inlineStr">
        <is>
          <t>VÄSTERBOTTENS LÄN</t>
        </is>
      </c>
      <c r="E94" t="inlineStr">
        <is>
          <t>LYCKSELE</t>
        </is>
      </c>
      <c r="F94" t="inlineStr">
        <is>
          <t>Sveaskog</t>
        </is>
      </c>
      <c r="G94" t="n">
        <v>5.5</v>
      </c>
      <c r="H94" t="n">
        <v>0</v>
      </c>
      <c r="I94" t="n">
        <v>0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2</v>
      </c>
      <c r="R94" s="2" t="inlineStr">
        <is>
          <t>Kolflarnlav
Mörk kolflarnlav</t>
        </is>
      </c>
      <c r="S94">
        <f>HYPERLINK("https://klasma.github.io/Logging_2481/artfynd/A 42159-2025 artfynd.xlsx", "A 42159-2025")</f>
        <v/>
      </c>
      <c r="T94">
        <f>HYPERLINK("https://klasma.github.io/Logging_2481/kartor/A 42159-2025 karta.png", "A 42159-2025")</f>
        <v/>
      </c>
      <c r="V94">
        <f>HYPERLINK("https://klasma.github.io/Logging_2481/klagomål/A 42159-2025 FSC-klagomål.docx", "A 42159-2025")</f>
        <v/>
      </c>
      <c r="W94">
        <f>HYPERLINK("https://klasma.github.io/Logging_2481/klagomålsmail/A 42159-2025 FSC-klagomål mail.docx", "A 42159-2025")</f>
        <v/>
      </c>
      <c r="X94">
        <f>HYPERLINK("https://klasma.github.io/Logging_2481/tillsyn/A 42159-2025 tillsynsbegäran.docx", "A 42159-2025")</f>
        <v/>
      </c>
      <c r="Y94">
        <f>HYPERLINK("https://klasma.github.io/Logging_2481/tillsynsmail/A 42159-2025 tillsynsbegäran mail.docx", "A 42159-2025")</f>
        <v/>
      </c>
    </row>
    <row r="95" ht="15" customHeight="1">
      <c r="A95" t="inlineStr">
        <is>
          <t>A 13645-2025</t>
        </is>
      </c>
      <c r="B95" s="1" t="n">
        <v>45736.6775</v>
      </c>
      <c r="C95" s="1" t="n">
        <v>45952</v>
      </c>
      <c r="D95" t="inlineStr">
        <is>
          <t>VÄSTERBOTTENS LÄN</t>
        </is>
      </c>
      <c r="E95" t="inlineStr">
        <is>
          <t>LYCKSELE</t>
        </is>
      </c>
      <c r="F95" t="inlineStr">
        <is>
          <t>SCA</t>
        </is>
      </c>
      <c r="G95" t="n">
        <v>19.6</v>
      </c>
      <c r="H95" t="n">
        <v>1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Talltita
Dropptaggsvamp</t>
        </is>
      </c>
      <c r="S95">
        <f>HYPERLINK("https://klasma.github.io/Logging_2481/artfynd/A 13645-2025 artfynd.xlsx", "A 13645-2025")</f>
        <v/>
      </c>
      <c r="T95">
        <f>HYPERLINK("https://klasma.github.io/Logging_2481/kartor/A 13645-2025 karta.png", "A 13645-2025")</f>
        <v/>
      </c>
      <c r="V95">
        <f>HYPERLINK("https://klasma.github.io/Logging_2481/klagomål/A 13645-2025 FSC-klagomål.docx", "A 13645-2025")</f>
        <v/>
      </c>
      <c r="W95">
        <f>HYPERLINK("https://klasma.github.io/Logging_2481/klagomålsmail/A 13645-2025 FSC-klagomål mail.docx", "A 13645-2025")</f>
        <v/>
      </c>
      <c r="X95">
        <f>HYPERLINK("https://klasma.github.io/Logging_2481/tillsyn/A 13645-2025 tillsynsbegäran.docx", "A 13645-2025")</f>
        <v/>
      </c>
      <c r="Y95">
        <f>HYPERLINK("https://klasma.github.io/Logging_2481/tillsynsmail/A 13645-2025 tillsynsbegäran mail.docx", "A 13645-2025")</f>
        <v/>
      </c>
      <c r="Z95">
        <f>HYPERLINK("https://klasma.github.io/Logging_2481/fåglar/A 13645-2025 prioriterade fågelarter.docx", "A 13645-2025")</f>
        <v/>
      </c>
    </row>
    <row r="96" ht="15" customHeight="1">
      <c r="A96" t="inlineStr">
        <is>
          <t>A 30515-2025</t>
        </is>
      </c>
      <c r="B96" s="1" t="n">
        <v>45831.33053240741</v>
      </c>
      <c r="C96" s="1" t="n">
        <v>45952</v>
      </c>
      <c r="D96" t="inlineStr">
        <is>
          <t>VÄSTERBOTTENS LÄN</t>
        </is>
      </c>
      <c r="E96" t="inlineStr">
        <is>
          <t>LYCKSELE</t>
        </is>
      </c>
      <c r="F96" t="inlineStr">
        <is>
          <t>Sveaskog</t>
        </is>
      </c>
      <c r="G96" t="n">
        <v>8.1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Granticka
Ullticka</t>
        </is>
      </c>
      <c r="S96">
        <f>HYPERLINK("https://klasma.github.io/Logging_2481/artfynd/A 30515-2025 artfynd.xlsx", "A 30515-2025")</f>
        <v/>
      </c>
      <c r="T96">
        <f>HYPERLINK("https://klasma.github.io/Logging_2481/kartor/A 30515-2025 karta.png", "A 30515-2025")</f>
        <v/>
      </c>
      <c r="V96">
        <f>HYPERLINK("https://klasma.github.io/Logging_2481/klagomål/A 30515-2025 FSC-klagomål.docx", "A 30515-2025")</f>
        <v/>
      </c>
      <c r="W96">
        <f>HYPERLINK("https://klasma.github.io/Logging_2481/klagomålsmail/A 30515-2025 FSC-klagomål mail.docx", "A 30515-2025")</f>
        <v/>
      </c>
      <c r="X96">
        <f>HYPERLINK("https://klasma.github.io/Logging_2481/tillsyn/A 30515-2025 tillsynsbegäran.docx", "A 30515-2025")</f>
        <v/>
      </c>
      <c r="Y96">
        <f>HYPERLINK("https://klasma.github.io/Logging_2481/tillsynsmail/A 30515-2025 tillsynsbegäran mail.docx", "A 30515-2025")</f>
        <v/>
      </c>
    </row>
    <row r="97" ht="15" customHeight="1">
      <c r="A97" t="inlineStr">
        <is>
          <t>A 30691-2025</t>
        </is>
      </c>
      <c r="B97" s="1" t="n">
        <v>45831.54038194445</v>
      </c>
      <c r="C97" s="1" t="n">
        <v>45952</v>
      </c>
      <c r="D97" t="inlineStr">
        <is>
          <t>VÄSTERBOTTENS LÄN</t>
        </is>
      </c>
      <c r="E97" t="inlineStr">
        <is>
          <t>LYCKSELE</t>
        </is>
      </c>
      <c r="F97" t="inlineStr">
        <is>
          <t>Sveaskog</t>
        </is>
      </c>
      <c r="G97" t="n">
        <v>2</v>
      </c>
      <c r="H97" t="n">
        <v>1</v>
      </c>
      <c r="I97" t="n">
        <v>0</v>
      </c>
      <c r="J97" t="n">
        <v>2</v>
      </c>
      <c r="K97" t="n">
        <v>0</v>
      </c>
      <c r="L97" t="n">
        <v>0</v>
      </c>
      <c r="M97" t="n">
        <v>0</v>
      </c>
      <c r="N97" t="n">
        <v>0</v>
      </c>
      <c r="O97" t="n">
        <v>2</v>
      </c>
      <c r="P97" t="n">
        <v>0</v>
      </c>
      <c r="Q97" t="n">
        <v>2</v>
      </c>
      <c r="R97" s="2" t="inlineStr">
        <is>
          <t>Mörk kolflarnlav
Tretåig hackspett</t>
        </is>
      </c>
      <c r="S97">
        <f>HYPERLINK("https://klasma.github.io/Logging_2481/artfynd/A 30691-2025 artfynd.xlsx", "A 30691-2025")</f>
        <v/>
      </c>
      <c r="T97">
        <f>HYPERLINK("https://klasma.github.io/Logging_2481/kartor/A 30691-2025 karta.png", "A 30691-2025")</f>
        <v/>
      </c>
      <c r="V97">
        <f>HYPERLINK("https://klasma.github.io/Logging_2481/klagomål/A 30691-2025 FSC-klagomål.docx", "A 30691-2025")</f>
        <v/>
      </c>
      <c r="W97">
        <f>HYPERLINK("https://klasma.github.io/Logging_2481/klagomålsmail/A 30691-2025 FSC-klagomål mail.docx", "A 30691-2025")</f>
        <v/>
      </c>
      <c r="X97">
        <f>HYPERLINK("https://klasma.github.io/Logging_2481/tillsyn/A 30691-2025 tillsynsbegäran.docx", "A 30691-2025")</f>
        <v/>
      </c>
      <c r="Y97">
        <f>HYPERLINK("https://klasma.github.io/Logging_2481/tillsynsmail/A 30691-2025 tillsynsbegäran mail.docx", "A 30691-2025")</f>
        <v/>
      </c>
      <c r="Z97">
        <f>HYPERLINK("https://klasma.github.io/Logging_2481/fåglar/A 30691-2025 prioriterade fågelarter.docx", "A 30691-2025")</f>
        <v/>
      </c>
    </row>
    <row r="98" ht="15" customHeight="1">
      <c r="A98" t="inlineStr">
        <is>
          <t>A 34032-2025</t>
        </is>
      </c>
      <c r="B98" s="1" t="n">
        <v>45845.36605324074</v>
      </c>
      <c r="C98" s="1" t="n">
        <v>45952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Granticka
Lunglav</t>
        </is>
      </c>
      <c r="S98">
        <f>HYPERLINK("https://klasma.github.io/Logging_2481/artfynd/A 34032-2025 artfynd.xlsx", "A 34032-2025")</f>
        <v/>
      </c>
      <c r="T98">
        <f>HYPERLINK("https://klasma.github.io/Logging_2481/kartor/A 34032-2025 karta.png", "A 34032-2025")</f>
        <v/>
      </c>
      <c r="V98">
        <f>HYPERLINK("https://klasma.github.io/Logging_2481/klagomål/A 34032-2025 FSC-klagomål.docx", "A 34032-2025")</f>
        <v/>
      </c>
      <c r="W98">
        <f>HYPERLINK("https://klasma.github.io/Logging_2481/klagomålsmail/A 34032-2025 FSC-klagomål mail.docx", "A 34032-2025")</f>
        <v/>
      </c>
      <c r="X98">
        <f>HYPERLINK("https://klasma.github.io/Logging_2481/tillsyn/A 34032-2025 tillsynsbegäran.docx", "A 34032-2025")</f>
        <v/>
      </c>
      <c r="Y98">
        <f>HYPERLINK("https://klasma.github.io/Logging_2481/tillsynsmail/A 34032-2025 tillsynsbegäran mail.docx", "A 34032-2025")</f>
        <v/>
      </c>
    </row>
    <row r="99" ht="15" customHeight="1">
      <c r="A99" t="inlineStr">
        <is>
          <t>A 20111-2025</t>
        </is>
      </c>
      <c r="B99" s="1" t="n">
        <v>45772.47297453704</v>
      </c>
      <c r="C99" s="1" t="n">
        <v>45952</v>
      </c>
      <c r="D99" t="inlineStr">
        <is>
          <t>VÄSTERBOTTENS LÄN</t>
        </is>
      </c>
      <c r="E99" t="inlineStr">
        <is>
          <t>LYCKSELE</t>
        </is>
      </c>
      <c r="F99" t="inlineStr">
        <is>
          <t>Sveaskog</t>
        </is>
      </c>
      <c r="G99" t="n">
        <v>6.9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Blå taggsvamp
Orange taggsvamp</t>
        </is>
      </c>
      <c r="S99">
        <f>HYPERLINK("https://klasma.github.io/Logging_2481/artfynd/A 20111-2025 artfynd.xlsx", "A 20111-2025")</f>
        <v/>
      </c>
      <c r="T99">
        <f>HYPERLINK("https://klasma.github.io/Logging_2481/kartor/A 20111-2025 karta.png", "A 20111-2025")</f>
        <v/>
      </c>
      <c r="V99">
        <f>HYPERLINK("https://klasma.github.io/Logging_2481/klagomål/A 20111-2025 FSC-klagomål.docx", "A 20111-2025")</f>
        <v/>
      </c>
      <c r="W99">
        <f>HYPERLINK("https://klasma.github.io/Logging_2481/klagomålsmail/A 20111-2025 FSC-klagomål mail.docx", "A 20111-2025")</f>
        <v/>
      </c>
      <c r="X99">
        <f>HYPERLINK("https://klasma.github.io/Logging_2481/tillsyn/A 20111-2025 tillsynsbegäran.docx", "A 20111-2025")</f>
        <v/>
      </c>
      <c r="Y99">
        <f>HYPERLINK("https://klasma.github.io/Logging_2481/tillsynsmail/A 20111-2025 tillsynsbegäran mail.docx", "A 20111-2025")</f>
        <v/>
      </c>
    </row>
    <row r="100" ht="15" customHeight="1">
      <c r="A100" t="inlineStr">
        <is>
          <t>A 37458-2025</t>
        </is>
      </c>
      <c r="B100" s="1" t="n">
        <v>45877.56935185185</v>
      </c>
      <c r="C100" s="1" t="n">
        <v>45952</v>
      </c>
      <c r="D100" t="inlineStr">
        <is>
          <t>VÄSTERBOTTENS LÄN</t>
        </is>
      </c>
      <c r="E100" t="inlineStr">
        <is>
          <t>LYCKSELE</t>
        </is>
      </c>
      <c r="F100" t="inlineStr">
        <is>
          <t>Holmen skog AB</t>
        </is>
      </c>
      <c r="G100" t="n">
        <v>5.1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Garnlav
Lavskrika</t>
        </is>
      </c>
      <c r="S100">
        <f>HYPERLINK("https://klasma.github.io/Logging_2481/artfynd/A 37458-2025 artfynd.xlsx", "A 37458-2025")</f>
        <v/>
      </c>
      <c r="T100">
        <f>HYPERLINK("https://klasma.github.io/Logging_2481/kartor/A 37458-2025 karta.png", "A 37458-2025")</f>
        <v/>
      </c>
      <c r="V100">
        <f>HYPERLINK("https://klasma.github.io/Logging_2481/klagomål/A 37458-2025 FSC-klagomål.docx", "A 37458-2025")</f>
        <v/>
      </c>
      <c r="W100">
        <f>HYPERLINK("https://klasma.github.io/Logging_2481/klagomålsmail/A 37458-2025 FSC-klagomål mail.docx", "A 37458-2025")</f>
        <v/>
      </c>
      <c r="X100">
        <f>HYPERLINK("https://klasma.github.io/Logging_2481/tillsyn/A 37458-2025 tillsynsbegäran.docx", "A 37458-2025")</f>
        <v/>
      </c>
      <c r="Y100">
        <f>HYPERLINK("https://klasma.github.io/Logging_2481/tillsynsmail/A 37458-2025 tillsynsbegäran mail.docx", "A 37458-2025")</f>
        <v/>
      </c>
      <c r="Z100">
        <f>HYPERLINK("https://klasma.github.io/Logging_2481/fåglar/A 37458-2025 prioriterade fågelarter.docx", "A 37458-2025")</f>
        <v/>
      </c>
    </row>
    <row r="101" ht="15" customHeight="1">
      <c r="A101" t="inlineStr">
        <is>
          <t>A 45359-2025</t>
        </is>
      </c>
      <c r="B101" s="1" t="n">
        <v>45922.36978009259</v>
      </c>
      <c r="C101" s="1" t="n">
        <v>45952</v>
      </c>
      <c r="D101" t="inlineStr">
        <is>
          <t>VÄSTERBOTTENS LÄN</t>
        </is>
      </c>
      <c r="E101" t="inlineStr">
        <is>
          <t>LYCKSELE</t>
        </is>
      </c>
      <c r="F101" t="inlineStr">
        <is>
          <t>Sveaskog</t>
        </is>
      </c>
      <c r="G101" t="n">
        <v>4.6</v>
      </c>
      <c r="H101" t="n">
        <v>0</v>
      </c>
      <c r="I101" t="n">
        <v>1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2</v>
      </c>
      <c r="R101" s="2" t="inlineStr">
        <is>
          <t>Garnlav
Stuplav</t>
        </is>
      </c>
      <c r="S101">
        <f>HYPERLINK("https://klasma.github.io/Logging_2481/artfynd/A 45359-2025 artfynd.xlsx", "A 45359-2025")</f>
        <v/>
      </c>
      <c r="T101">
        <f>HYPERLINK("https://klasma.github.io/Logging_2481/kartor/A 45359-2025 karta.png", "A 45359-2025")</f>
        <v/>
      </c>
      <c r="V101">
        <f>HYPERLINK("https://klasma.github.io/Logging_2481/klagomål/A 45359-2025 FSC-klagomål.docx", "A 45359-2025")</f>
        <v/>
      </c>
      <c r="W101">
        <f>HYPERLINK("https://klasma.github.io/Logging_2481/klagomålsmail/A 45359-2025 FSC-klagomål mail.docx", "A 45359-2025")</f>
        <v/>
      </c>
      <c r="X101">
        <f>HYPERLINK("https://klasma.github.io/Logging_2481/tillsyn/A 45359-2025 tillsynsbegäran.docx", "A 45359-2025")</f>
        <v/>
      </c>
      <c r="Y101">
        <f>HYPERLINK("https://klasma.github.io/Logging_2481/tillsynsmail/A 45359-2025 tillsynsbegäran mail.docx", "A 45359-2025")</f>
        <v/>
      </c>
    </row>
    <row r="102" ht="15" customHeight="1">
      <c r="A102" t="inlineStr">
        <is>
          <t>A 19492-2025</t>
        </is>
      </c>
      <c r="B102" s="1" t="n">
        <v>45770.38863425926</v>
      </c>
      <c r="C102" s="1" t="n">
        <v>45952</v>
      </c>
      <c r="D102" t="inlineStr">
        <is>
          <t>VÄSTERBOTTENS LÄN</t>
        </is>
      </c>
      <c r="E102" t="inlineStr">
        <is>
          <t>LYCKSELE</t>
        </is>
      </c>
      <c r="F102" t="inlineStr">
        <is>
          <t>SCA</t>
        </is>
      </c>
      <c r="G102" t="n">
        <v>14.2</v>
      </c>
      <c r="H102" t="n">
        <v>0</v>
      </c>
      <c r="I102" t="n">
        <v>1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Lunglav
Stuplav</t>
        </is>
      </c>
      <c r="S102">
        <f>HYPERLINK("https://klasma.github.io/Logging_2481/artfynd/A 19492-2025 artfynd.xlsx", "A 19492-2025")</f>
        <v/>
      </c>
      <c r="T102">
        <f>HYPERLINK("https://klasma.github.io/Logging_2481/kartor/A 19492-2025 karta.png", "A 19492-2025")</f>
        <v/>
      </c>
      <c r="V102">
        <f>HYPERLINK("https://klasma.github.io/Logging_2481/klagomål/A 19492-2025 FSC-klagomål.docx", "A 19492-2025")</f>
        <v/>
      </c>
      <c r="W102">
        <f>HYPERLINK("https://klasma.github.io/Logging_2481/klagomålsmail/A 19492-2025 FSC-klagomål mail.docx", "A 19492-2025")</f>
        <v/>
      </c>
      <c r="X102">
        <f>HYPERLINK("https://klasma.github.io/Logging_2481/tillsyn/A 19492-2025 tillsynsbegäran.docx", "A 19492-2025")</f>
        <v/>
      </c>
      <c r="Y102">
        <f>HYPERLINK("https://klasma.github.io/Logging_2481/tillsynsmail/A 19492-2025 tillsynsbegäran mail.docx", "A 19492-2025")</f>
        <v/>
      </c>
    </row>
    <row r="103" ht="15" customHeight="1">
      <c r="A103" t="inlineStr">
        <is>
          <t>A 60045-2021</t>
        </is>
      </c>
      <c r="B103" s="1" t="n">
        <v>44495.33185185185</v>
      </c>
      <c r="C103" s="1" t="n">
        <v>45952</v>
      </c>
      <c r="D103" t="inlineStr">
        <is>
          <t>VÄSTERBOTTENS LÄN</t>
        </is>
      </c>
      <c r="E103" t="inlineStr">
        <is>
          <t>LYCKSELE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Lunglav</t>
        </is>
      </c>
      <c r="S103">
        <f>HYPERLINK("https://klasma.github.io/Logging_2481/artfynd/A 60045-2021 artfynd.xlsx", "A 60045-2021")</f>
        <v/>
      </c>
      <c r="T103">
        <f>HYPERLINK("https://klasma.github.io/Logging_2481/kartor/A 60045-2021 karta.png", "A 60045-2021")</f>
        <v/>
      </c>
      <c r="V103">
        <f>HYPERLINK("https://klasma.github.io/Logging_2481/klagomål/A 60045-2021 FSC-klagomål.docx", "A 60045-2021")</f>
        <v/>
      </c>
      <c r="W103">
        <f>HYPERLINK("https://klasma.github.io/Logging_2481/klagomålsmail/A 60045-2021 FSC-klagomål mail.docx", "A 60045-2021")</f>
        <v/>
      </c>
      <c r="X103">
        <f>HYPERLINK("https://klasma.github.io/Logging_2481/tillsyn/A 60045-2021 tillsynsbegäran.docx", "A 60045-2021")</f>
        <v/>
      </c>
      <c r="Y103">
        <f>HYPERLINK("https://klasma.github.io/Logging_2481/tillsynsmail/A 60045-2021 tillsynsbegäran mail.docx", "A 60045-2021")</f>
        <v/>
      </c>
    </row>
    <row r="104" ht="15" customHeight="1">
      <c r="A104" t="inlineStr">
        <is>
          <t>A 3929-2022</t>
        </is>
      </c>
      <c r="B104" s="1" t="n">
        <v>44587.54111111111</v>
      </c>
      <c r="C104" s="1" t="n">
        <v>45952</v>
      </c>
      <c r="D104" t="inlineStr">
        <is>
          <t>VÄSTERBOTTENS LÄN</t>
        </is>
      </c>
      <c r="E104" t="inlineStr">
        <is>
          <t>LYCKSELE</t>
        </is>
      </c>
      <c r="F104" t="inlineStr">
        <is>
          <t>Sveaskog</t>
        </is>
      </c>
      <c r="G104" t="n">
        <v>6.7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Kolflarnlav</t>
        </is>
      </c>
      <c r="S104">
        <f>HYPERLINK("https://klasma.github.io/Logging_2481/artfynd/A 3929-2022 artfynd.xlsx", "A 3929-2022")</f>
        <v/>
      </c>
      <c r="T104">
        <f>HYPERLINK("https://klasma.github.io/Logging_2481/kartor/A 3929-2022 karta.png", "A 3929-2022")</f>
        <v/>
      </c>
      <c r="V104">
        <f>HYPERLINK("https://klasma.github.io/Logging_2481/klagomål/A 3929-2022 FSC-klagomål.docx", "A 3929-2022")</f>
        <v/>
      </c>
      <c r="W104">
        <f>HYPERLINK("https://klasma.github.io/Logging_2481/klagomålsmail/A 3929-2022 FSC-klagomål mail.docx", "A 3929-2022")</f>
        <v/>
      </c>
      <c r="X104">
        <f>HYPERLINK("https://klasma.github.io/Logging_2481/tillsyn/A 3929-2022 tillsynsbegäran.docx", "A 3929-2022")</f>
        <v/>
      </c>
      <c r="Y104">
        <f>HYPERLINK("https://klasma.github.io/Logging_2481/tillsynsmail/A 3929-2022 tillsynsbegäran mail.docx", "A 3929-2022")</f>
        <v/>
      </c>
    </row>
    <row r="105" ht="15" customHeight="1">
      <c r="A105" t="inlineStr">
        <is>
          <t>A 9073-2022</t>
        </is>
      </c>
      <c r="B105" s="1" t="n">
        <v>44615</v>
      </c>
      <c r="C105" s="1" t="n">
        <v>45952</v>
      </c>
      <c r="D105" t="inlineStr">
        <is>
          <t>VÄSTERBOTTENS LÄN</t>
        </is>
      </c>
      <c r="E105" t="inlineStr">
        <is>
          <t>LYCKSELE</t>
        </is>
      </c>
      <c r="G105" t="n">
        <v>3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Utter</t>
        </is>
      </c>
      <c r="S105">
        <f>HYPERLINK("https://klasma.github.io/Logging_2481/artfynd/A 9073-2022 artfynd.xlsx", "A 9073-2022")</f>
        <v/>
      </c>
      <c r="T105">
        <f>HYPERLINK("https://klasma.github.io/Logging_2481/kartor/A 9073-2022 karta.png", "A 9073-2022")</f>
        <v/>
      </c>
      <c r="V105">
        <f>HYPERLINK("https://klasma.github.io/Logging_2481/klagomål/A 9073-2022 FSC-klagomål.docx", "A 9073-2022")</f>
        <v/>
      </c>
      <c r="W105">
        <f>HYPERLINK("https://klasma.github.io/Logging_2481/klagomålsmail/A 9073-2022 FSC-klagomål mail.docx", "A 9073-2022")</f>
        <v/>
      </c>
      <c r="X105">
        <f>HYPERLINK("https://klasma.github.io/Logging_2481/tillsyn/A 9073-2022 tillsynsbegäran.docx", "A 9073-2022")</f>
        <v/>
      </c>
      <c r="Y105">
        <f>HYPERLINK("https://klasma.github.io/Logging_2481/tillsynsmail/A 9073-2022 tillsynsbegäran mail.docx", "A 9073-2022")</f>
        <v/>
      </c>
    </row>
    <row r="106" ht="15" customHeight="1">
      <c r="A106" t="inlineStr">
        <is>
          <t>A 59780-2021</t>
        </is>
      </c>
      <c r="B106" s="1" t="n">
        <v>44494</v>
      </c>
      <c r="C106" s="1" t="n">
        <v>45952</v>
      </c>
      <c r="D106" t="inlineStr">
        <is>
          <t>VÄSTERBOTTENS LÄN</t>
        </is>
      </c>
      <c r="E106" t="inlineStr">
        <is>
          <t>LYCKSELE</t>
        </is>
      </c>
      <c r="F106" t="inlineStr">
        <is>
          <t>Sveaskog</t>
        </is>
      </c>
      <c r="G106" t="n">
        <v>5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HYPERLINK("https://klasma.github.io/Logging_2481/artfynd/A 59780-2021 artfynd.xlsx", "A 59780-2021")</f>
        <v/>
      </c>
      <c r="T106">
        <f>HYPERLINK("https://klasma.github.io/Logging_2481/kartor/A 59780-2021 karta.png", "A 59780-2021")</f>
        <v/>
      </c>
      <c r="V106">
        <f>HYPERLINK("https://klasma.github.io/Logging_2481/klagomål/A 59780-2021 FSC-klagomål.docx", "A 59780-2021")</f>
        <v/>
      </c>
      <c r="W106">
        <f>HYPERLINK("https://klasma.github.io/Logging_2481/klagomålsmail/A 59780-2021 FSC-klagomål mail.docx", "A 59780-2021")</f>
        <v/>
      </c>
      <c r="X106">
        <f>HYPERLINK("https://klasma.github.io/Logging_2481/tillsyn/A 59780-2021 tillsynsbegäran.docx", "A 59780-2021")</f>
        <v/>
      </c>
      <c r="Y106">
        <f>HYPERLINK("https://klasma.github.io/Logging_2481/tillsynsmail/A 59780-2021 tillsynsbegäran mail.docx", "A 59780-2021")</f>
        <v/>
      </c>
    </row>
    <row r="107" ht="15" customHeight="1">
      <c r="A107" t="inlineStr">
        <is>
          <t>A 9341-2022</t>
        </is>
      </c>
      <c r="B107" s="1" t="n">
        <v>44616</v>
      </c>
      <c r="C107" s="1" t="n">
        <v>45952</v>
      </c>
      <c r="D107" t="inlineStr">
        <is>
          <t>VÄSTERBOTTENS LÄN</t>
        </is>
      </c>
      <c r="E107" t="inlineStr">
        <is>
          <t>LYCKSELE</t>
        </is>
      </c>
      <c r="G107" t="n">
        <v>6.9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Ullticka</t>
        </is>
      </c>
      <c r="S107">
        <f>HYPERLINK("https://klasma.github.io/Logging_2481/artfynd/A 9341-2022 artfynd.xlsx", "A 9341-2022")</f>
        <v/>
      </c>
      <c r="T107">
        <f>HYPERLINK("https://klasma.github.io/Logging_2481/kartor/A 9341-2022 karta.png", "A 9341-2022")</f>
        <v/>
      </c>
      <c r="V107">
        <f>HYPERLINK("https://klasma.github.io/Logging_2481/klagomål/A 9341-2022 FSC-klagomål.docx", "A 9341-2022")</f>
        <v/>
      </c>
      <c r="W107">
        <f>HYPERLINK("https://klasma.github.io/Logging_2481/klagomålsmail/A 9341-2022 FSC-klagomål mail.docx", "A 9341-2022")</f>
        <v/>
      </c>
      <c r="X107">
        <f>HYPERLINK("https://klasma.github.io/Logging_2481/tillsyn/A 9341-2022 tillsynsbegäran.docx", "A 9341-2022")</f>
        <v/>
      </c>
      <c r="Y107">
        <f>HYPERLINK("https://klasma.github.io/Logging_2481/tillsynsmail/A 9341-2022 tillsynsbegäran mail.docx", "A 9341-2022")</f>
        <v/>
      </c>
    </row>
    <row r="108" ht="15" customHeight="1">
      <c r="A108" t="inlineStr">
        <is>
          <t>A 34809-2022</t>
        </is>
      </c>
      <c r="B108" s="1" t="n">
        <v>44795</v>
      </c>
      <c r="C108" s="1" t="n">
        <v>45952</v>
      </c>
      <c r="D108" t="inlineStr">
        <is>
          <t>VÄSTERBOTTENS LÄN</t>
        </is>
      </c>
      <c r="E108" t="inlineStr">
        <is>
          <t>LYCKSELE</t>
        </is>
      </c>
      <c r="F108" t="inlineStr">
        <is>
          <t>SCA</t>
        </is>
      </c>
      <c r="G108" t="n">
        <v>1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Gammelgransskål</t>
        </is>
      </c>
      <c r="S108">
        <f>HYPERLINK("https://klasma.github.io/Logging_2481/artfynd/A 34809-2022 artfynd.xlsx", "A 34809-2022")</f>
        <v/>
      </c>
      <c r="T108">
        <f>HYPERLINK("https://klasma.github.io/Logging_2481/kartor/A 34809-2022 karta.png", "A 34809-2022")</f>
        <v/>
      </c>
      <c r="V108">
        <f>HYPERLINK("https://klasma.github.io/Logging_2481/klagomål/A 34809-2022 FSC-klagomål.docx", "A 34809-2022")</f>
        <v/>
      </c>
      <c r="W108">
        <f>HYPERLINK("https://klasma.github.io/Logging_2481/klagomålsmail/A 34809-2022 FSC-klagomål mail.docx", "A 34809-2022")</f>
        <v/>
      </c>
      <c r="X108">
        <f>HYPERLINK("https://klasma.github.io/Logging_2481/tillsyn/A 34809-2022 tillsynsbegäran.docx", "A 34809-2022")</f>
        <v/>
      </c>
      <c r="Y108">
        <f>HYPERLINK("https://klasma.github.io/Logging_2481/tillsynsmail/A 34809-2022 tillsynsbegäran mail.docx", "A 34809-2022")</f>
        <v/>
      </c>
    </row>
    <row r="109" ht="15" customHeight="1">
      <c r="A109" t="inlineStr">
        <is>
          <t>A 34810-2022</t>
        </is>
      </c>
      <c r="B109" s="1" t="n">
        <v>44795</v>
      </c>
      <c r="C109" s="1" t="n">
        <v>45952</v>
      </c>
      <c r="D109" t="inlineStr">
        <is>
          <t>VÄSTERBOTTENS LÄN</t>
        </is>
      </c>
      <c r="E109" t="inlineStr">
        <is>
          <t>LYCKSELE</t>
        </is>
      </c>
      <c r="F109" t="inlineStr">
        <is>
          <t>SCA</t>
        </is>
      </c>
      <c r="G109" t="n">
        <v>2.3</v>
      </c>
      <c r="H109" t="n">
        <v>0</v>
      </c>
      <c r="I109" t="n">
        <v>0</v>
      </c>
      <c r="J109" t="n">
        <v>1</v>
      </c>
      <c r="K109" t="n">
        <v>0</v>
      </c>
      <c r="L109" t="n">
        <v>0</v>
      </c>
      <c r="M109" t="n">
        <v>0</v>
      </c>
      <c r="N109" t="n">
        <v>0</v>
      </c>
      <c r="O109" t="n">
        <v>1</v>
      </c>
      <c r="P109" t="n">
        <v>0</v>
      </c>
      <c r="Q109" t="n">
        <v>1</v>
      </c>
      <c r="R109" s="2" t="inlineStr">
        <is>
          <t>Lunglav</t>
        </is>
      </c>
      <c r="S109">
        <f>HYPERLINK("https://klasma.github.io/Logging_2481/artfynd/A 34810-2022 artfynd.xlsx", "A 34810-2022")</f>
        <v/>
      </c>
      <c r="T109">
        <f>HYPERLINK("https://klasma.github.io/Logging_2481/kartor/A 34810-2022 karta.png", "A 34810-2022")</f>
        <v/>
      </c>
      <c r="V109">
        <f>HYPERLINK("https://klasma.github.io/Logging_2481/klagomål/A 34810-2022 FSC-klagomål.docx", "A 34810-2022")</f>
        <v/>
      </c>
      <c r="W109">
        <f>HYPERLINK("https://klasma.github.io/Logging_2481/klagomålsmail/A 34810-2022 FSC-klagomål mail.docx", "A 34810-2022")</f>
        <v/>
      </c>
      <c r="X109">
        <f>HYPERLINK("https://klasma.github.io/Logging_2481/tillsyn/A 34810-2022 tillsynsbegäran.docx", "A 34810-2022")</f>
        <v/>
      </c>
      <c r="Y109">
        <f>HYPERLINK("https://klasma.github.io/Logging_2481/tillsynsmail/A 34810-2022 tillsynsbegäran mail.docx", "A 34810-2022")</f>
        <v/>
      </c>
    </row>
    <row r="110" ht="15" customHeight="1">
      <c r="A110" t="inlineStr">
        <is>
          <t>A 33633-2024</t>
        </is>
      </c>
      <c r="B110" s="1" t="n">
        <v>45520.43246527778</v>
      </c>
      <c r="C110" s="1" t="n">
        <v>45952</v>
      </c>
      <c r="D110" t="inlineStr">
        <is>
          <t>VÄSTERBOTTENS LÄN</t>
        </is>
      </c>
      <c r="E110" t="inlineStr">
        <is>
          <t>LYCKSELE</t>
        </is>
      </c>
      <c r="F110" t="inlineStr">
        <is>
          <t>Sveaskog</t>
        </is>
      </c>
      <c r="G110" t="n">
        <v>2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Ögonpyrola</t>
        </is>
      </c>
      <c r="S110">
        <f>HYPERLINK("https://klasma.github.io/Logging_2481/artfynd/A 33633-2024 artfynd.xlsx", "A 33633-2024")</f>
        <v/>
      </c>
      <c r="T110">
        <f>HYPERLINK("https://klasma.github.io/Logging_2481/kartor/A 33633-2024 karta.png", "A 33633-2024")</f>
        <v/>
      </c>
      <c r="V110">
        <f>HYPERLINK("https://klasma.github.io/Logging_2481/klagomål/A 33633-2024 FSC-klagomål.docx", "A 33633-2024")</f>
        <v/>
      </c>
      <c r="W110">
        <f>HYPERLINK("https://klasma.github.io/Logging_2481/klagomålsmail/A 33633-2024 FSC-klagomål mail.docx", "A 33633-2024")</f>
        <v/>
      </c>
      <c r="X110">
        <f>HYPERLINK("https://klasma.github.io/Logging_2481/tillsyn/A 33633-2024 tillsynsbegäran.docx", "A 33633-2024")</f>
        <v/>
      </c>
      <c r="Y110">
        <f>HYPERLINK("https://klasma.github.io/Logging_2481/tillsynsmail/A 33633-2024 tillsynsbegäran mail.docx", "A 33633-2024")</f>
        <v/>
      </c>
    </row>
    <row r="111" ht="15" customHeight="1">
      <c r="A111" t="inlineStr">
        <is>
          <t>A 73357-2021</t>
        </is>
      </c>
      <c r="B111" s="1" t="n">
        <v>44551.40773148148</v>
      </c>
      <c r="C111" s="1" t="n">
        <v>45952</v>
      </c>
      <c r="D111" t="inlineStr">
        <is>
          <t>VÄSTERBOTTENS LÄN</t>
        </is>
      </c>
      <c r="E111" t="inlineStr">
        <is>
          <t>LYCKSELE</t>
        </is>
      </c>
      <c r="G111" t="n">
        <v>11.3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Garnlav</t>
        </is>
      </c>
      <c r="S111">
        <f>HYPERLINK("https://klasma.github.io/Logging_2481/artfynd/A 73357-2021 artfynd.xlsx", "A 73357-2021")</f>
        <v/>
      </c>
      <c r="T111">
        <f>HYPERLINK("https://klasma.github.io/Logging_2481/kartor/A 73357-2021 karta.png", "A 73357-2021")</f>
        <v/>
      </c>
      <c r="V111">
        <f>HYPERLINK("https://klasma.github.io/Logging_2481/klagomål/A 73357-2021 FSC-klagomål.docx", "A 73357-2021")</f>
        <v/>
      </c>
      <c r="W111">
        <f>HYPERLINK("https://klasma.github.io/Logging_2481/klagomålsmail/A 73357-2021 FSC-klagomål mail.docx", "A 73357-2021")</f>
        <v/>
      </c>
      <c r="X111">
        <f>HYPERLINK("https://klasma.github.io/Logging_2481/tillsyn/A 73357-2021 tillsynsbegäran.docx", "A 73357-2021")</f>
        <v/>
      </c>
      <c r="Y111">
        <f>HYPERLINK("https://klasma.github.io/Logging_2481/tillsynsmail/A 73357-2021 tillsynsbegäran mail.docx", "A 73357-2021")</f>
        <v/>
      </c>
    </row>
    <row r="112" ht="15" customHeight="1">
      <c r="A112" t="inlineStr">
        <is>
          <t>A 28838-2024</t>
        </is>
      </c>
      <c r="B112" s="1" t="n">
        <v>45478.68777777778</v>
      </c>
      <c r="C112" s="1" t="n">
        <v>45952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1.6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Kolflarnlav</t>
        </is>
      </c>
      <c r="S112">
        <f>HYPERLINK("https://klasma.github.io/Logging_2481/artfynd/A 28838-2024 artfynd.xlsx", "A 28838-2024")</f>
        <v/>
      </c>
      <c r="T112">
        <f>HYPERLINK("https://klasma.github.io/Logging_2481/kartor/A 28838-2024 karta.png", "A 28838-2024")</f>
        <v/>
      </c>
      <c r="V112">
        <f>HYPERLINK("https://klasma.github.io/Logging_2481/klagomål/A 28838-2024 FSC-klagomål.docx", "A 28838-2024")</f>
        <v/>
      </c>
      <c r="W112">
        <f>HYPERLINK("https://klasma.github.io/Logging_2481/klagomålsmail/A 28838-2024 FSC-klagomål mail.docx", "A 28838-2024")</f>
        <v/>
      </c>
      <c r="X112">
        <f>HYPERLINK("https://klasma.github.io/Logging_2481/tillsyn/A 28838-2024 tillsynsbegäran.docx", "A 28838-2024")</f>
        <v/>
      </c>
      <c r="Y112">
        <f>HYPERLINK("https://klasma.github.io/Logging_2481/tillsynsmail/A 28838-2024 tillsynsbegäran mail.docx", "A 28838-2024")</f>
        <v/>
      </c>
    </row>
    <row r="113" ht="15" customHeight="1">
      <c r="A113" t="inlineStr">
        <is>
          <t>A 46004-2024</t>
        </is>
      </c>
      <c r="B113" s="1" t="n">
        <v>45580.65900462963</v>
      </c>
      <c r="C113" s="1" t="n">
        <v>45952</v>
      </c>
      <c r="D113" t="inlineStr">
        <is>
          <t>VÄSTERBOTTENS LÄN</t>
        </is>
      </c>
      <c r="E113" t="inlineStr">
        <is>
          <t>LYCKSELE</t>
        </is>
      </c>
      <c r="F113" t="inlineStr">
        <is>
          <t>Sveaskog</t>
        </is>
      </c>
      <c r="G113" t="n">
        <v>7.2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Lunglav</t>
        </is>
      </c>
      <c r="S113">
        <f>HYPERLINK("https://klasma.github.io/Logging_2481/artfynd/A 46004-2024 artfynd.xlsx", "A 46004-2024")</f>
        <v/>
      </c>
      <c r="T113">
        <f>HYPERLINK("https://klasma.github.io/Logging_2481/kartor/A 46004-2024 karta.png", "A 46004-2024")</f>
        <v/>
      </c>
      <c r="V113">
        <f>HYPERLINK("https://klasma.github.io/Logging_2481/klagomål/A 46004-2024 FSC-klagomål.docx", "A 46004-2024")</f>
        <v/>
      </c>
      <c r="W113">
        <f>HYPERLINK("https://klasma.github.io/Logging_2481/klagomålsmail/A 46004-2024 FSC-klagomål mail.docx", "A 46004-2024")</f>
        <v/>
      </c>
      <c r="X113">
        <f>HYPERLINK("https://klasma.github.io/Logging_2481/tillsyn/A 46004-2024 tillsynsbegäran.docx", "A 46004-2024")</f>
        <v/>
      </c>
      <c r="Y113">
        <f>HYPERLINK("https://klasma.github.io/Logging_2481/tillsynsmail/A 46004-2024 tillsynsbegäran mail.docx", "A 46004-2024")</f>
        <v/>
      </c>
    </row>
    <row r="114" ht="15" customHeight="1">
      <c r="A114" t="inlineStr">
        <is>
          <t>A 39572-2024</t>
        </is>
      </c>
      <c r="B114" s="1" t="n">
        <v>45552.36100694445</v>
      </c>
      <c r="C114" s="1" t="n">
        <v>45952</v>
      </c>
      <c r="D114" t="inlineStr">
        <is>
          <t>VÄSTERBOTTENS LÄN</t>
        </is>
      </c>
      <c r="E114" t="inlineStr">
        <is>
          <t>LYCKSELE</t>
        </is>
      </c>
      <c r="F114" t="inlineStr">
        <is>
          <t>Sveaskog</t>
        </is>
      </c>
      <c r="G114" t="n">
        <v>39.2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Grynig filtlav</t>
        </is>
      </c>
      <c r="S114">
        <f>HYPERLINK("https://klasma.github.io/Logging_2481/artfynd/A 39572-2024 artfynd.xlsx", "A 39572-2024")</f>
        <v/>
      </c>
      <c r="T114">
        <f>HYPERLINK("https://klasma.github.io/Logging_2481/kartor/A 39572-2024 karta.png", "A 39572-2024")</f>
        <v/>
      </c>
      <c r="V114">
        <f>HYPERLINK("https://klasma.github.io/Logging_2481/klagomål/A 39572-2024 FSC-klagomål.docx", "A 39572-2024")</f>
        <v/>
      </c>
      <c r="W114">
        <f>HYPERLINK("https://klasma.github.io/Logging_2481/klagomålsmail/A 39572-2024 FSC-klagomål mail.docx", "A 39572-2024")</f>
        <v/>
      </c>
      <c r="X114">
        <f>HYPERLINK("https://klasma.github.io/Logging_2481/tillsyn/A 39572-2024 tillsynsbegäran.docx", "A 39572-2024")</f>
        <v/>
      </c>
      <c r="Y114">
        <f>HYPERLINK("https://klasma.github.io/Logging_2481/tillsynsmail/A 39572-2024 tillsynsbegäran mail.docx", "A 39572-2024")</f>
        <v/>
      </c>
    </row>
    <row r="115" ht="15" customHeight="1">
      <c r="A115" t="inlineStr">
        <is>
          <t>A 742-2025</t>
        </is>
      </c>
      <c r="B115" s="1" t="n">
        <v>45665.42216435185</v>
      </c>
      <c r="C115" s="1" t="n">
        <v>45952</v>
      </c>
      <c r="D115" t="inlineStr">
        <is>
          <t>VÄSTERBOTTENS LÄN</t>
        </is>
      </c>
      <c r="E115" t="inlineStr">
        <is>
          <t>LYCKSELE</t>
        </is>
      </c>
      <c r="F115" t="inlineStr">
        <is>
          <t>Holmen skog AB</t>
        </is>
      </c>
      <c r="G115" t="n">
        <v>5.6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Fläcknycklar</t>
        </is>
      </c>
      <c r="S115">
        <f>HYPERLINK("https://klasma.github.io/Logging_2481/artfynd/A 742-2025 artfynd.xlsx", "A 742-2025")</f>
        <v/>
      </c>
      <c r="T115">
        <f>HYPERLINK("https://klasma.github.io/Logging_2481/kartor/A 742-2025 karta.png", "A 742-2025")</f>
        <v/>
      </c>
      <c r="V115">
        <f>HYPERLINK("https://klasma.github.io/Logging_2481/klagomål/A 742-2025 FSC-klagomål.docx", "A 742-2025")</f>
        <v/>
      </c>
      <c r="W115">
        <f>HYPERLINK("https://klasma.github.io/Logging_2481/klagomålsmail/A 742-2025 FSC-klagomål mail.docx", "A 742-2025")</f>
        <v/>
      </c>
      <c r="X115">
        <f>HYPERLINK("https://klasma.github.io/Logging_2481/tillsyn/A 742-2025 tillsynsbegäran.docx", "A 742-2025")</f>
        <v/>
      </c>
      <c r="Y115">
        <f>HYPERLINK("https://klasma.github.io/Logging_2481/tillsynsmail/A 742-2025 tillsynsbegäran mail.docx", "A 742-2025")</f>
        <v/>
      </c>
    </row>
    <row r="116" ht="15" customHeight="1">
      <c r="A116" t="inlineStr">
        <is>
          <t>A 50826-2024</t>
        </is>
      </c>
      <c r="B116" s="1" t="n">
        <v>45602</v>
      </c>
      <c r="C116" s="1" t="n">
        <v>45952</v>
      </c>
      <c r="D116" t="inlineStr">
        <is>
          <t>VÄSTERBOTTENS LÄN</t>
        </is>
      </c>
      <c r="E116" t="inlineStr">
        <is>
          <t>LYCKSELE</t>
        </is>
      </c>
      <c r="F116" t="inlineStr">
        <is>
          <t>Sveaskog</t>
        </is>
      </c>
      <c r="G116" t="n">
        <v>3.1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Dropptaggsvamp</t>
        </is>
      </c>
      <c r="S116">
        <f>HYPERLINK("https://klasma.github.io/Logging_2481/artfynd/A 50826-2024 artfynd.xlsx", "A 50826-2024")</f>
        <v/>
      </c>
      <c r="T116">
        <f>HYPERLINK("https://klasma.github.io/Logging_2481/kartor/A 50826-2024 karta.png", "A 50826-2024")</f>
        <v/>
      </c>
      <c r="V116">
        <f>HYPERLINK("https://klasma.github.io/Logging_2481/klagomål/A 50826-2024 FSC-klagomål.docx", "A 50826-2024")</f>
        <v/>
      </c>
      <c r="W116">
        <f>HYPERLINK("https://klasma.github.io/Logging_2481/klagomålsmail/A 50826-2024 FSC-klagomål mail.docx", "A 50826-2024")</f>
        <v/>
      </c>
      <c r="X116">
        <f>HYPERLINK("https://klasma.github.io/Logging_2481/tillsyn/A 50826-2024 tillsynsbegäran.docx", "A 50826-2024")</f>
        <v/>
      </c>
      <c r="Y116">
        <f>HYPERLINK("https://klasma.github.io/Logging_2481/tillsynsmail/A 50826-2024 tillsynsbegäran mail.docx", "A 50826-2024")</f>
        <v/>
      </c>
    </row>
    <row r="117" ht="15" customHeight="1">
      <c r="A117" t="inlineStr">
        <is>
          <t>A 61896-2024</t>
        </is>
      </c>
      <c r="B117" s="1" t="n">
        <v>45652.74872685185</v>
      </c>
      <c r="C117" s="1" t="n">
        <v>45952</v>
      </c>
      <c r="D117" t="inlineStr">
        <is>
          <t>VÄSTERBOTTENS LÄN</t>
        </is>
      </c>
      <c r="E117" t="inlineStr">
        <is>
          <t>LYCKSELE</t>
        </is>
      </c>
      <c r="G117" t="n">
        <v>6.6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1</v>
      </c>
      <c r="R117" s="2" t="inlineStr">
        <is>
          <t>Harticka</t>
        </is>
      </c>
      <c r="S117">
        <f>HYPERLINK("https://klasma.github.io/Logging_2481/artfynd/A 61896-2024 artfynd.xlsx", "A 61896-2024")</f>
        <v/>
      </c>
      <c r="T117">
        <f>HYPERLINK("https://klasma.github.io/Logging_2481/kartor/A 61896-2024 karta.png", "A 61896-2024")</f>
        <v/>
      </c>
      <c r="V117">
        <f>HYPERLINK("https://klasma.github.io/Logging_2481/klagomål/A 61896-2024 FSC-klagomål.docx", "A 61896-2024")</f>
        <v/>
      </c>
      <c r="W117">
        <f>HYPERLINK("https://klasma.github.io/Logging_2481/klagomålsmail/A 61896-2024 FSC-klagomål mail.docx", "A 61896-2024")</f>
        <v/>
      </c>
      <c r="X117">
        <f>HYPERLINK("https://klasma.github.io/Logging_2481/tillsyn/A 61896-2024 tillsynsbegäran.docx", "A 61896-2024")</f>
        <v/>
      </c>
      <c r="Y117">
        <f>HYPERLINK("https://klasma.github.io/Logging_2481/tillsynsmail/A 61896-2024 tillsynsbegäran mail.docx", "A 61896-2024")</f>
        <v/>
      </c>
    </row>
    <row r="118" ht="15" customHeight="1">
      <c r="A118" t="inlineStr">
        <is>
          <t>A 45774-2024</t>
        </is>
      </c>
      <c r="B118" s="1" t="n">
        <v>45579</v>
      </c>
      <c r="C118" s="1" t="n">
        <v>45952</v>
      </c>
      <c r="D118" t="inlineStr">
        <is>
          <t>VÄSTERBOTTENS LÄN</t>
        </is>
      </c>
      <c r="E118" t="inlineStr">
        <is>
          <t>LYCKSELE</t>
        </is>
      </c>
      <c r="F118" t="inlineStr">
        <is>
          <t>SCA</t>
        </is>
      </c>
      <c r="G118" t="n">
        <v>4.3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Barkticka</t>
        </is>
      </c>
      <c r="S118">
        <f>HYPERLINK("https://klasma.github.io/Logging_2481/artfynd/A 45774-2024 artfynd.xlsx", "A 45774-2024")</f>
        <v/>
      </c>
      <c r="T118">
        <f>HYPERLINK("https://klasma.github.io/Logging_2481/kartor/A 45774-2024 karta.png", "A 45774-2024")</f>
        <v/>
      </c>
      <c r="V118">
        <f>HYPERLINK("https://klasma.github.io/Logging_2481/klagomål/A 45774-2024 FSC-klagomål.docx", "A 45774-2024")</f>
        <v/>
      </c>
      <c r="W118">
        <f>HYPERLINK("https://klasma.github.io/Logging_2481/klagomålsmail/A 45774-2024 FSC-klagomål mail.docx", "A 45774-2024")</f>
        <v/>
      </c>
      <c r="X118">
        <f>HYPERLINK("https://klasma.github.io/Logging_2481/tillsyn/A 45774-2024 tillsynsbegäran.docx", "A 45774-2024")</f>
        <v/>
      </c>
      <c r="Y118">
        <f>HYPERLINK("https://klasma.github.io/Logging_2481/tillsynsmail/A 45774-2024 tillsynsbegäran mail.docx", "A 45774-2024")</f>
        <v/>
      </c>
    </row>
    <row r="119" ht="15" customHeight="1">
      <c r="A119" t="inlineStr">
        <is>
          <t>A 38507-2023</t>
        </is>
      </c>
      <c r="B119" s="1" t="n">
        <v>45162.50637731481</v>
      </c>
      <c r="C119" s="1" t="n">
        <v>45952</v>
      </c>
      <c r="D119" t="inlineStr">
        <is>
          <t>VÄSTERBOTTENS LÄN</t>
        </is>
      </c>
      <c r="E119" t="inlineStr">
        <is>
          <t>LYCKSELE</t>
        </is>
      </c>
      <c r="F119" t="inlineStr">
        <is>
          <t>Sveaskog</t>
        </is>
      </c>
      <c r="G119" t="n">
        <v>2.5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Blå taggsvamp</t>
        </is>
      </c>
      <c r="S119">
        <f>HYPERLINK("https://klasma.github.io/Logging_2481/artfynd/A 38507-2023 artfynd.xlsx", "A 38507-2023")</f>
        <v/>
      </c>
      <c r="T119">
        <f>HYPERLINK("https://klasma.github.io/Logging_2481/kartor/A 38507-2023 karta.png", "A 38507-2023")</f>
        <v/>
      </c>
      <c r="V119">
        <f>HYPERLINK("https://klasma.github.io/Logging_2481/klagomål/A 38507-2023 FSC-klagomål.docx", "A 38507-2023")</f>
        <v/>
      </c>
      <c r="W119">
        <f>HYPERLINK("https://klasma.github.io/Logging_2481/klagomålsmail/A 38507-2023 FSC-klagomål mail.docx", "A 38507-2023")</f>
        <v/>
      </c>
      <c r="X119">
        <f>HYPERLINK("https://klasma.github.io/Logging_2481/tillsyn/A 38507-2023 tillsynsbegäran.docx", "A 38507-2023")</f>
        <v/>
      </c>
      <c r="Y119">
        <f>HYPERLINK("https://klasma.github.io/Logging_2481/tillsynsmail/A 38507-2023 tillsynsbegäran mail.docx", "A 38507-2023")</f>
        <v/>
      </c>
    </row>
    <row r="120" ht="15" customHeight="1">
      <c r="A120" t="inlineStr">
        <is>
          <t>A 26857-2024</t>
        </is>
      </c>
      <c r="B120" s="1" t="n">
        <v>45470</v>
      </c>
      <c r="C120" s="1" t="n">
        <v>45952</v>
      </c>
      <c r="D120" t="inlineStr">
        <is>
          <t>VÄSTERBOTTENS LÄN</t>
        </is>
      </c>
      <c r="E120" t="inlineStr">
        <is>
          <t>LYCKSELE</t>
        </is>
      </c>
      <c r="F120" t="inlineStr">
        <is>
          <t>Sveaskog</t>
        </is>
      </c>
      <c r="G120" t="n">
        <v>24.2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Kolflarnlav</t>
        </is>
      </c>
      <c r="S120">
        <f>HYPERLINK("https://klasma.github.io/Logging_2481/artfynd/A 26857-2024 artfynd.xlsx", "A 26857-2024")</f>
        <v/>
      </c>
      <c r="T120">
        <f>HYPERLINK("https://klasma.github.io/Logging_2481/kartor/A 26857-2024 karta.png", "A 26857-2024")</f>
        <v/>
      </c>
      <c r="V120">
        <f>HYPERLINK("https://klasma.github.io/Logging_2481/klagomål/A 26857-2024 FSC-klagomål.docx", "A 26857-2024")</f>
        <v/>
      </c>
      <c r="W120">
        <f>HYPERLINK("https://klasma.github.io/Logging_2481/klagomålsmail/A 26857-2024 FSC-klagomål mail.docx", "A 26857-2024")</f>
        <v/>
      </c>
      <c r="X120">
        <f>HYPERLINK("https://klasma.github.io/Logging_2481/tillsyn/A 26857-2024 tillsynsbegäran.docx", "A 26857-2024")</f>
        <v/>
      </c>
      <c r="Y120">
        <f>HYPERLINK("https://klasma.github.io/Logging_2481/tillsynsmail/A 26857-2024 tillsynsbegäran mail.docx", "A 26857-2024")</f>
        <v/>
      </c>
    </row>
    <row r="121" ht="15" customHeight="1">
      <c r="A121" t="inlineStr">
        <is>
          <t>A 41776-2024</t>
        </is>
      </c>
      <c r="B121" s="1" t="n">
        <v>45561.34743055556</v>
      </c>
      <c r="C121" s="1" t="n">
        <v>45952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1.1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Kolflarnlav</t>
        </is>
      </c>
      <c r="S121">
        <f>HYPERLINK("https://klasma.github.io/Logging_2481/artfynd/A 41776-2024 artfynd.xlsx", "A 41776-2024")</f>
        <v/>
      </c>
      <c r="T121">
        <f>HYPERLINK("https://klasma.github.io/Logging_2481/kartor/A 41776-2024 karta.png", "A 41776-2024")</f>
        <v/>
      </c>
      <c r="V121">
        <f>HYPERLINK("https://klasma.github.io/Logging_2481/klagomål/A 41776-2024 FSC-klagomål.docx", "A 41776-2024")</f>
        <v/>
      </c>
      <c r="W121">
        <f>HYPERLINK("https://klasma.github.io/Logging_2481/klagomålsmail/A 41776-2024 FSC-klagomål mail.docx", "A 41776-2024")</f>
        <v/>
      </c>
      <c r="X121">
        <f>HYPERLINK("https://klasma.github.io/Logging_2481/tillsyn/A 41776-2024 tillsynsbegäran.docx", "A 41776-2024")</f>
        <v/>
      </c>
      <c r="Y121">
        <f>HYPERLINK("https://klasma.github.io/Logging_2481/tillsynsmail/A 41776-2024 tillsynsbegäran mail.docx", "A 41776-2024")</f>
        <v/>
      </c>
    </row>
    <row r="122" ht="15" customHeight="1">
      <c r="A122" t="inlineStr">
        <is>
          <t>A 24824-2024</t>
        </is>
      </c>
      <c r="B122" s="1" t="n">
        <v>45461.35597222222</v>
      </c>
      <c r="C122" s="1" t="n">
        <v>45952</v>
      </c>
      <c r="D122" t="inlineStr">
        <is>
          <t>VÄSTERBOTTENS LÄN</t>
        </is>
      </c>
      <c r="E122" t="inlineStr">
        <is>
          <t>LYCKSELE</t>
        </is>
      </c>
      <c r="F122" t="inlineStr">
        <is>
          <t>Sveaskog</t>
        </is>
      </c>
      <c r="G122" t="n">
        <v>6.1</v>
      </c>
      <c r="H122" t="n">
        <v>1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Kungsörn</t>
        </is>
      </c>
      <c r="S122">
        <f>HYPERLINK("https://klasma.github.io/Logging_2481/artfynd/A 24824-2024 artfynd.xlsx", "A 24824-2024")</f>
        <v/>
      </c>
      <c r="T122">
        <f>HYPERLINK("https://klasma.github.io/Logging_2481/kartor/A 24824-2024 karta.png", "A 24824-2024")</f>
        <v/>
      </c>
      <c r="V122">
        <f>HYPERLINK("https://klasma.github.io/Logging_2481/klagomål/A 24824-2024 FSC-klagomål.docx", "A 24824-2024")</f>
        <v/>
      </c>
      <c r="W122">
        <f>HYPERLINK("https://klasma.github.io/Logging_2481/klagomålsmail/A 24824-2024 FSC-klagomål mail.docx", "A 24824-2024")</f>
        <v/>
      </c>
      <c r="X122">
        <f>HYPERLINK("https://klasma.github.io/Logging_2481/tillsyn/A 24824-2024 tillsynsbegäran.docx", "A 24824-2024")</f>
        <v/>
      </c>
      <c r="Y122">
        <f>HYPERLINK("https://klasma.github.io/Logging_2481/tillsynsmail/A 24824-2024 tillsynsbegäran mail.docx", "A 24824-2024")</f>
        <v/>
      </c>
      <c r="Z122">
        <f>HYPERLINK("https://klasma.github.io/Logging_2481/fåglar/A 24824-2024 prioriterade fågelarter.docx", "A 24824-2024")</f>
        <v/>
      </c>
    </row>
    <row r="123" ht="15" customHeight="1">
      <c r="A123" t="inlineStr">
        <is>
          <t>A 49394-2024</t>
        </is>
      </c>
      <c r="B123" s="1" t="n">
        <v>45595</v>
      </c>
      <c r="C123" s="1" t="n">
        <v>45952</v>
      </c>
      <c r="D123" t="inlineStr">
        <is>
          <t>VÄSTERBOTTENS LÄN</t>
        </is>
      </c>
      <c r="E123" t="inlineStr">
        <is>
          <t>LYCKSELE</t>
        </is>
      </c>
      <c r="F123" t="inlineStr">
        <is>
          <t>Sveaskog</t>
        </is>
      </c>
      <c r="G123" t="n">
        <v>10.6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Lunglav</t>
        </is>
      </c>
      <c r="S123">
        <f>HYPERLINK("https://klasma.github.io/Logging_2481/artfynd/A 49394-2024 artfynd.xlsx", "A 49394-2024")</f>
        <v/>
      </c>
      <c r="T123">
        <f>HYPERLINK("https://klasma.github.io/Logging_2481/kartor/A 49394-2024 karta.png", "A 49394-2024")</f>
        <v/>
      </c>
      <c r="V123">
        <f>HYPERLINK("https://klasma.github.io/Logging_2481/klagomål/A 49394-2024 FSC-klagomål.docx", "A 49394-2024")</f>
        <v/>
      </c>
      <c r="W123">
        <f>HYPERLINK("https://klasma.github.io/Logging_2481/klagomålsmail/A 49394-2024 FSC-klagomål mail.docx", "A 49394-2024")</f>
        <v/>
      </c>
      <c r="X123">
        <f>HYPERLINK("https://klasma.github.io/Logging_2481/tillsyn/A 49394-2024 tillsynsbegäran.docx", "A 49394-2024")</f>
        <v/>
      </c>
      <c r="Y123">
        <f>HYPERLINK("https://klasma.github.io/Logging_2481/tillsynsmail/A 49394-2024 tillsynsbegäran mail.docx", "A 49394-2024")</f>
        <v/>
      </c>
    </row>
    <row r="124" ht="15" customHeight="1">
      <c r="A124" t="inlineStr">
        <is>
          <t>A 61910-2024</t>
        </is>
      </c>
      <c r="B124" s="1" t="n">
        <v>45653.36229166666</v>
      </c>
      <c r="C124" s="1" t="n">
        <v>45952</v>
      </c>
      <c r="D124" t="inlineStr">
        <is>
          <t>VÄSTERBOTTENS LÄN</t>
        </is>
      </c>
      <c r="E124" t="inlineStr">
        <is>
          <t>LYCKSELE</t>
        </is>
      </c>
      <c r="G124" t="n">
        <v>5.8</v>
      </c>
      <c r="H124" t="n">
        <v>1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Norna</t>
        </is>
      </c>
      <c r="S124">
        <f>HYPERLINK("https://klasma.github.io/Logging_2481/artfynd/A 61910-2024 artfynd.xlsx", "A 61910-2024")</f>
        <v/>
      </c>
      <c r="T124">
        <f>HYPERLINK("https://klasma.github.io/Logging_2481/kartor/A 61910-2024 karta.png", "A 61910-2024")</f>
        <v/>
      </c>
      <c r="V124">
        <f>HYPERLINK("https://klasma.github.io/Logging_2481/klagomål/A 61910-2024 FSC-klagomål.docx", "A 61910-2024")</f>
        <v/>
      </c>
      <c r="W124">
        <f>HYPERLINK("https://klasma.github.io/Logging_2481/klagomålsmail/A 61910-2024 FSC-klagomål mail.docx", "A 61910-2024")</f>
        <v/>
      </c>
      <c r="X124">
        <f>HYPERLINK("https://klasma.github.io/Logging_2481/tillsyn/A 61910-2024 tillsynsbegäran.docx", "A 61910-2024")</f>
        <v/>
      </c>
      <c r="Y124">
        <f>HYPERLINK("https://klasma.github.io/Logging_2481/tillsynsmail/A 61910-2024 tillsynsbegäran mail.docx", "A 61910-2024")</f>
        <v/>
      </c>
    </row>
    <row r="125" ht="15" customHeight="1">
      <c r="A125" t="inlineStr">
        <is>
          <t>A 20940-2025</t>
        </is>
      </c>
      <c r="B125" s="1" t="n">
        <v>45777.4309375</v>
      </c>
      <c r="C125" s="1" t="n">
        <v>45952</v>
      </c>
      <c r="D125" t="inlineStr">
        <is>
          <t>VÄSTERBOTTENS LÄN</t>
        </is>
      </c>
      <c r="E125" t="inlineStr">
        <is>
          <t>LYCKSELE</t>
        </is>
      </c>
      <c r="F125" t="inlineStr">
        <is>
          <t>Sveaskog</t>
        </is>
      </c>
      <c r="G125" t="n">
        <v>3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Dropptaggsvamp</t>
        </is>
      </c>
      <c r="S125">
        <f>HYPERLINK("https://klasma.github.io/Logging_2481/artfynd/A 20940-2025 artfynd.xlsx", "A 20940-2025")</f>
        <v/>
      </c>
      <c r="T125">
        <f>HYPERLINK("https://klasma.github.io/Logging_2481/kartor/A 20940-2025 karta.png", "A 20940-2025")</f>
        <v/>
      </c>
      <c r="V125">
        <f>HYPERLINK("https://klasma.github.io/Logging_2481/klagomål/A 20940-2025 FSC-klagomål.docx", "A 20940-2025")</f>
        <v/>
      </c>
      <c r="W125">
        <f>HYPERLINK("https://klasma.github.io/Logging_2481/klagomålsmail/A 20940-2025 FSC-klagomål mail.docx", "A 20940-2025")</f>
        <v/>
      </c>
      <c r="X125">
        <f>HYPERLINK("https://klasma.github.io/Logging_2481/tillsyn/A 20940-2025 tillsynsbegäran.docx", "A 20940-2025")</f>
        <v/>
      </c>
      <c r="Y125">
        <f>HYPERLINK("https://klasma.github.io/Logging_2481/tillsynsmail/A 20940-2025 tillsynsbegäran mail.docx", "A 20940-2025")</f>
        <v/>
      </c>
    </row>
    <row r="126" ht="15" customHeight="1">
      <c r="A126" t="inlineStr">
        <is>
          <t>A 20929-2025</t>
        </is>
      </c>
      <c r="B126" s="1" t="n">
        <v>45777.42574074074</v>
      </c>
      <c r="C126" s="1" t="n">
        <v>45952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3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Dropptaggsvamp</t>
        </is>
      </c>
      <c r="S126">
        <f>HYPERLINK("https://klasma.github.io/Logging_2481/artfynd/A 20929-2025 artfynd.xlsx", "A 20929-2025")</f>
        <v/>
      </c>
      <c r="T126">
        <f>HYPERLINK("https://klasma.github.io/Logging_2481/kartor/A 20929-2025 karta.png", "A 20929-2025")</f>
        <v/>
      </c>
      <c r="V126">
        <f>HYPERLINK("https://klasma.github.io/Logging_2481/klagomål/A 20929-2025 FSC-klagomål.docx", "A 20929-2025")</f>
        <v/>
      </c>
      <c r="W126">
        <f>HYPERLINK("https://klasma.github.io/Logging_2481/klagomålsmail/A 20929-2025 FSC-klagomål mail.docx", "A 20929-2025")</f>
        <v/>
      </c>
      <c r="X126">
        <f>HYPERLINK("https://klasma.github.io/Logging_2481/tillsyn/A 20929-2025 tillsynsbegäran.docx", "A 20929-2025")</f>
        <v/>
      </c>
      <c r="Y126">
        <f>HYPERLINK("https://klasma.github.io/Logging_2481/tillsynsmail/A 20929-2025 tillsynsbegäran mail.docx", "A 20929-2025")</f>
        <v/>
      </c>
    </row>
    <row r="127" ht="15" customHeight="1">
      <c r="A127" t="inlineStr">
        <is>
          <t>A 53869-2023</t>
        </is>
      </c>
      <c r="B127" s="1" t="n">
        <v>45231</v>
      </c>
      <c r="C127" s="1" t="n">
        <v>45952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5.6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Dropptaggsvamp</t>
        </is>
      </c>
      <c r="S127">
        <f>HYPERLINK("https://klasma.github.io/Logging_2481/artfynd/A 53869-2023 artfynd.xlsx", "A 53869-2023")</f>
        <v/>
      </c>
      <c r="T127">
        <f>HYPERLINK("https://klasma.github.io/Logging_2481/kartor/A 53869-2023 karta.png", "A 53869-2023")</f>
        <v/>
      </c>
      <c r="V127">
        <f>HYPERLINK("https://klasma.github.io/Logging_2481/klagomål/A 53869-2023 FSC-klagomål.docx", "A 53869-2023")</f>
        <v/>
      </c>
      <c r="W127">
        <f>HYPERLINK("https://klasma.github.io/Logging_2481/klagomålsmail/A 53869-2023 FSC-klagomål mail.docx", "A 53869-2023")</f>
        <v/>
      </c>
      <c r="X127">
        <f>HYPERLINK("https://klasma.github.io/Logging_2481/tillsyn/A 53869-2023 tillsynsbegäran.docx", "A 53869-2023")</f>
        <v/>
      </c>
      <c r="Y127">
        <f>HYPERLINK("https://klasma.github.io/Logging_2481/tillsynsmail/A 53869-2023 tillsynsbegäran mail.docx", "A 53869-2023")</f>
        <v/>
      </c>
    </row>
    <row r="128" ht="15" customHeight="1">
      <c r="A128" t="inlineStr">
        <is>
          <t>A 59283-2024</t>
        </is>
      </c>
      <c r="B128" s="1" t="n">
        <v>45637.64248842592</v>
      </c>
      <c r="C128" s="1" t="n">
        <v>45952</v>
      </c>
      <c r="D128" t="inlineStr">
        <is>
          <t>VÄSTERBOTTENS LÄN</t>
        </is>
      </c>
      <c r="E128" t="inlineStr">
        <is>
          <t>LYCKSELE</t>
        </is>
      </c>
      <c r="F128" t="inlineStr">
        <is>
          <t>Sveaskog</t>
        </is>
      </c>
      <c r="G128" t="n">
        <v>2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Dropptaggsvamp</t>
        </is>
      </c>
      <c r="S128">
        <f>HYPERLINK("https://klasma.github.io/Logging_2481/artfynd/A 59283-2024 artfynd.xlsx", "A 59283-2024")</f>
        <v/>
      </c>
      <c r="T128">
        <f>HYPERLINK("https://klasma.github.io/Logging_2481/kartor/A 59283-2024 karta.png", "A 59283-2024")</f>
        <v/>
      </c>
      <c r="V128">
        <f>HYPERLINK("https://klasma.github.io/Logging_2481/klagomål/A 59283-2024 FSC-klagomål.docx", "A 59283-2024")</f>
        <v/>
      </c>
      <c r="W128">
        <f>HYPERLINK("https://klasma.github.io/Logging_2481/klagomålsmail/A 59283-2024 FSC-klagomål mail.docx", "A 59283-2024")</f>
        <v/>
      </c>
      <c r="X128">
        <f>HYPERLINK("https://klasma.github.io/Logging_2481/tillsyn/A 59283-2024 tillsynsbegäran.docx", "A 59283-2024")</f>
        <v/>
      </c>
      <c r="Y128">
        <f>HYPERLINK("https://klasma.github.io/Logging_2481/tillsynsmail/A 59283-2024 tillsynsbegäran mail.docx", "A 59283-2024")</f>
        <v/>
      </c>
    </row>
    <row r="129" ht="15" customHeight="1">
      <c r="A129" t="inlineStr">
        <is>
          <t>A 496-2024</t>
        </is>
      </c>
      <c r="B129" s="1" t="n">
        <v>45299</v>
      </c>
      <c r="C129" s="1" t="n">
        <v>45952</v>
      </c>
      <c r="D129" t="inlineStr">
        <is>
          <t>VÄSTERBOTTENS LÄN</t>
        </is>
      </c>
      <c r="E129" t="inlineStr">
        <is>
          <t>LYCKSELE</t>
        </is>
      </c>
      <c r="G129" t="n">
        <v>5.2</v>
      </c>
      <c r="H129" t="n">
        <v>1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Tretåig hackspett</t>
        </is>
      </c>
      <c r="S129">
        <f>HYPERLINK("https://klasma.github.io/Logging_2481/artfynd/A 496-2024 artfynd.xlsx", "A 496-2024")</f>
        <v/>
      </c>
      <c r="T129">
        <f>HYPERLINK("https://klasma.github.io/Logging_2481/kartor/A 496-2024 karta.png", "A 496-2024")</f>
        <v/>
      </c>
      <c r="V129">
        <f>HYPERLINK("https://klasma.github.io/Logging_2481/klagomål/A 496-2024 FSC-klagomål.docx", "A 496-2024")</f>
        <v/>
      </c>
      <c r="W129">
        <f>HYPERLINK("https://klasma.github.io/Logging_2481/klagomålsmail/A 496-2024 FSC-klagomål mail.docx", "A 496-2024")</f>
        <v/>
      </c>
      <c r="X129">
        <f>HYPERLINK("https://klasma.github.io/Logging_2481/tillsyn/A 496-2024 tillsynsbegäran.docx", "A 496-2024")</f>
        <v/>
      </c>
      <c r="Y129">
        <f>HYPERLINK("https://klasma.github.io/Logging_2481/tillsynsmail/A 496-2024 tillsynsbegäran mail.docx", "A 496-2024")</f>
        <v/>
      </c>
      <c r="Z129">
        <f>HYPERLINK("https://klasma.github.io/Logging_2481/fåglar/A 496-2024 prioriterade fågelarter.docx", "A 496-2024")</f>
        <v/>
      </c>
    </row>
    <row r="130" ht="15" customHeight="1">
      <c r="A130" t="inlineStr">
        <is>
          <t>A 47454-2025</t>
        </is>
      </c>
      <c r="B130" s="1" t="n">
        <v>45930.65238425926</v>
      </c>
      <c r="C130" s="1" t="n">
        <v>45952</v>
      </c>
      <c r="D130" t="inlineStr">
        <is>
          <t>VÄSTERBOTTENS LÄN</t>
        </is>
      </c>
      <c r="E130" t="inlineStr">
        <is>
          <t>LYCKSELE</t>
        </is>
      </c>
      <c r="F130" t="inlineStr">
        <is>
          <t>Sveaskog</t>
        </is>
      </c>
      <c r="G130" t="n">
        <v>3.8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Motaggsvamp</t>
        </is>
      </c>
      <c r="S130">
        <f>HYPERLINK("https://klasma.github.io/Logging_2481/artfynd/A 47454-2025 artfynd.xlsx", "A 47454-2025")</f>
        <v/>
      </c>
      <c r="T130">
        <f>HYPERLINK("https://klasma.github.io/Logging_2481/kartor/A 47454-2025 karta.png", "A 47454-2025")</f>
        <v/>
      </c>
      <c r="V130">
        <f>HYPERLINK("https://klasma.github.io/Logging_2481/klagomål/A 47454-2025 FSC-klagomål.docx", "A 47454-2025")</f>
        <v/>
      </c>
      <c r="W130">
        <f>HYPERLINK("https://klasma.github.io/Logging_2481/klagomålsmail/A 47454-2025 FSC-klagomål mail.docx", "A 47454-2025")</f>
        <v/>
      </c>
      <c r="X130">
        <f>HYPERLINK("https://klasma.github.io/Logging_2481/tillsyn/A 47454-2025 tillsynsbegäran.docx", "A 47454-2025")</f>
        <v/>
      </c>
      <c r="Y130">
        <f>HYPERLINK("https://klasma.github.io/Logging_2481/tillsynsmail/A 47454-2025 tillsynsbegäran mail.docx", "A 47454-2025")</f>
        <v/>
      </c>
    </row>
    <row r="131" ht="15" customHeight="1">
      <c r="A131" t="inlineStr">
        <is>
          <t>A 39231-2025</t>
        </is>
      </c>
      <c r="B131" s="1" t="n">
        <v>45889.29927083333</v>
      </c>
      <c r="C131" s="1" t="n">
        <v>45952</v>
      </c>
      <c r="D131" t="inlineStr">
        <is>
          <t>VÄSTERBOTTENS LÄN</t>
        </is>
      </c>
      <c r="E131" t="inlineStr">
        <is>
          <t>LYCKSELE</t>
        </is>
      </c>
      <c r="F131" t="inlineStr">
        <is>
          <t>Sveaskog</t>
        </is>
      </c>
      <c r="G131" t="n">
        <v>16.3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Mörk kolflarnlav</t>
        </is>
      </c>
      <c r="S131">
        <f>HYPERLINK("https://klasma.github.io/Logging_2481/artfynd/A 39231-2025 artfynd.xlsx", "A 39231-2025")</f>
        <v/>
      </c>
      <c r="T131">
        <f>HYPERLINK("https://klasma.github.io/Logging_2481/kartor/A 39231-2025 karta.png", "A 39231-2025")</f>
        <v/>
      </c>
      <c r="V131">
        <f>HYPERLINK("https://klasma.github.io/Logging_2481/klagomål/A 39231-2025 FSC-klagomål.docx", "A 39231-2025")</f>
        <v/>
      </c>
      <c r="W131">
        <f>HYPERLINK("https://klasma.github.io/Logging_2481/klagomålsmail/A 39231-2025 FSC-klagomål mail.docx", "A 39231-2025")</f>
        <v/>
      </c>
      <c r="X131">
        <f>HYPERLINK("https://klasma.github.io/Logging_2481/tillsyn/A 39231-2025 tillsynsbegäran.docx", "A 39231-2025")</f>
        <v/>
      </c>
      <c r="Y131">
        <f>HYPERLINK("https://klasma.github.io/Logging_2481/tillsynsmail/A 39231-2025 tillsynsbegäran mail.docx", "A 39231-2025")</f>
        <v/>
      </c>
    </row>
    <row r="132" ht="15" customHeight="1">
      <c r="A132" t="inlineStr">
        <is>
          <t>A 39280-2025</t>
        </is>
      </c>
      <c r="B132" s="1" t="n">
        <v>45889.40121527778</v>
      </c>
      <c r="C132" s="1" t="n">
        <v>45952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9.199999999999999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Lunglav</t>
        </is>
      </c>
      <c r="S132">
        <f>HYPERLINK("https://klasma.github.io/Logging_2481/artfynd/A 39280-2025 artfynd.xlsx", "A 39280-2025")</f>
        <v/>
      </c>
      <c r="T132">
        <f>HYPERLINK("https://klasma.github.io/Logging_2481/kartor/A 39280-2025 karta.png", "A 39280-2025")</f>
        <v/>
      </c>
      <c r="V132">
        <f>HYPERLINK("https://klasma.github.io/Logging_2481/klagomål/A 39280-2025 FSC-klagomål.docx", "A 39280-2025")</f>
        <v/>
      </c>
      <c r="W132">
        <f>HYPERLINK("https://klasma.github.io/Logging_2481/klagomålsmail/A 39280-2025 FSC-klagomål mail.docx", "A 39280-2025")</f>
        <v/>
      </c>
      <c r="X132">
        <f>HYPERLINK("https://klasma.github.io/Logging_2481/tillsyn/A 39280-2025 tillsynsbegäran.docx", "A 39280-2025")</f>
        <v/>
      </c>
      <c r="Y132">
        <f>HYPERLINK("https://klasma.github.io/Logging_2481/tillsynsmail/A 39280-2025 tillsynsbegäran mail.docx", "A 39280-2025")</f>
        <v/>
      </c>
    </row>
    <row r="133" ht="15" customHeight="1">
      <c r="A133" t="inlineStr">
        <is>
          <t>A 22373-2025</t>
        </is>
      </c>
      <c r="B133" s="1" t="n">
        <v>45786.47950231482</v>
      </c>
      <c r="C133" s="1" t="n">
        <v>45952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Holmen skog AB</t>
        </is>
      </c>
      <c r="G133" t="n">
        <v>5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Garnlav</t>
        </is>
      </c>
      <c r="S133">
        <f>HYPERLINK("https://klasma.github.io/Logging_2481/artfynd/A 22373-2025 artfynd.xlsx", "A 22373-2025")</f>
        <v/>
      </c>
      <c r="T133">
        <f>HYPERLINK("https://klasma.github.io/Logging_2481/kartor/A 22373-2025 karta.png", "A 22373-2025")</f>
        <v/>
      </c>
      <c r="V133">
        <f>HYPERLINK("https://klasma.github.io/Logging_2481/klagomål/A 22373-2025 FSC-klagomål.docx", "A 22373-2025")</f>
        <v/>
      </c>
      <c r="W133">
        <f>HYPERLINK("https://klasma.github.io/Logging_2481/klagomålsmail/A 22373-2025 FSC-klagomål mail.docx", "A 22373-2025")</f>
        <v/>
      </c>
      <c r="X133">
        <f>HYPERLINK("https://klasma.github.io/Logging_2481/tillsyn/A 22373-2025 tillsynsbegäran.docx", "A 22373-2025")</f>
        <v/>
      </c>
      <c r="Y133">
        <f>HYPERLINK("https://klasma.github.io/Logging_2481/tillsynsmail/A 22373-2025 tillsynsbegäran mail.docx", "A 22373-2025")</f>
        <v/>
      </c>
    </row>
    <row r="134" ht="15" customHeight="1">
      <c r="A134" t="inlineStr">
        <is>
          <t>A 23314-2025</t>
        </is>
      </c>
      <c r="B134" s="1" t="n">
        <v>45791.61121527778</v>
      </c>
      <c r="C134" s="1" t="n">
        <v>45952</v>
      </c>
      <c r="D134" t="inlineStr">
        <is>
          <t>VÄSTERBOTTENS LÄN</t>
        </is>
      </c>
      <c r="E134" t="inlineStr">
        <is>
          <t>LYCKSELE</t>
        </is>
      </c>
      <c r="F134" t="inlineStr">
        <is>
          <t>Sveaskog</t>
        </is>
      </c>
      <c r="G134" t="n">
        <v>1.7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Orange taggsvamp</t>
        </is>
      </c>
      <c r="S134">
        <f>HYPERLINK("https://klasma.github.io/Logging_2481/artfynd/A 23314-2025 artfynd.xlsx", "A 23314-2025")</f>
        <v/>
      </c>
      <c r="T134">
        <f>HYPERLINK("https://klasma.github.io/Logging_2481/kartor/A 23314-2025 karta.png", "A 23314-2025")</f>
        <v/>
      </c>
      <c r="V134">
        <f>HYPERLINK("https://klasma.github.io/Logging_2481/klagomål/A 23314-2025 FSC-klagomål.docx", "A 23314-2025")</f>
        <v/>
      </c>
      <c r="W134">
        <f>HYPERLINK("https://klasma.github.io/Logging_2481/klagomålsmail/A 23314-2025 FSC-klagomål mail.docx", "A 23314-2025")</f>
        <v/>
      </c>
      <c r="X134">
        <f>HYPERLINK("https://klasma.github.io/Logging_2481/tillsyn/A 23314-2025 tillsynsbegäran.docx", "A 23314-2025")</f>
        <v/>
      </c>
      <c r="Y134">
        <f>HYPERLINK("https://klasma.github.io/Logging_2481/tillsynsmail/A 23314-2025 tillsynsbegäran mail.docx", "A 23314-2025")</f>
        <v/>
      </c>
    </row>
    <row r="135" ht="15" customHeight="1">
      <c r="A135" t="inlineStr">
        <is>
          <t>A 35931-2024</t>
        </is>
      </c>
      <c r="B135" s="1" t="n">
        <v>45533.4471875</v>
      </c>
      <c r="C135" s="1" t="n">
        <v>45952</v>
      </c>
      <c r="D135" t="inlineStr">
        <is>
          <t>VÄSTERBOTTENS LÄN</t>
        </is>
      </c>
      <c r="E135" t="inlineStr">
        <is>
          <t>LYCKSELE</t>
        </is>
      </c>
      <c r="F135" t="inlineStr">
        <is>
          <t>Sveaskog</t>
        </is>
      </c>
      <c r="G135" t="n">
        <v>57.3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Kolflarnlav</t>
        </is>
      </c>
      <c r="S135">
        <f>HYPERLINK("https://klasma.github.io/Logging_2481/artfynd/A 35931-2024 artfynd.xlsx", "A 35931-2024")</f>
        <v/>
      </c>
      <c r="T135">
        <f>HYPERLINK("https://klasma.github.io/Logging_2481/kartor/A 35931-2024 karta.png", "A 35931-2024")</f>
        <v/>
      </c>
      <c r="V135">
        <f>HYPERLINK("https://klasma.github.io/Logging_2481/klagomål/A 35931-2024 FSC-klagomål.docx", "A 35931-2024")</f>
        <v/>
      </c>
      <c r="W135">
        <f>HYPERLINK("https://klasma.github.io/Logging_2481/klagomålsmail/A 35931-2024 FSC-klagomål mail.docx", "A 35931-2024")</f>
        <v/>
      </c>
      <c r="X135">
        <f>HYPERLINK("https://klasma.github.io/Logging_2481/tillsyn/A 35931-2024 tillsynsbegäran.docx", "A 35931-2024")</f>
        <v/>
      </c>
      <c r="Y135">
        <f>HYPERLINK("https://klasma.github.io/Logging_2481/tillsynsmail/A 35931-2024 tillsynsbegäran mail.docx", "A 35931-2024")</f>
        <v/>
      </c>
    </row>
    <row r="136" ht="15" customHeight="1">
      <c r="A136" t="inlineStr">
        <is>
          <t>A 24515-2025</t>
        </is>
      </c>
      <c r="B136" s="1" t="n">
        <v>45798</v>
      </c>
      <c r="C136" s="1" t="n">
        <v>45952</v>
      </c>
      <c r="D136" t="inlineStr">
        <is>
          <t>VÄSTERBOTTENS LÄN</t>
        </is>
      </c>
      <c r="E136" t="inlineStr">
        <is>
          <t>LYCKSELE</t>
        </is>
      </c>
      <c r="F136" t="inlineStr">
        <is>
          <t>Sveaskog</t>
        </is>
      </c>
      <c r="G136" t="n">
        <v>9.9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Talltita</t>
        </is>
      </c>
      <c r="S136">
        <f>HYPERLINK("https://klasma.github.io/Logging_2481/artfynd/A 24515-2025 artfynd.xlsx", "A 24515-2025")</f>
        <v/>
      </c>
      <c r="T136">
        <f>HYPERLINK("https://klasma.github.io/Logging_2481/kartor/A 24515-2025 karta.png", "A 24515-2025")</f>
        <v/>
      </c>
      <c r="V136">
        <f>HYPERLINK("https://klasma.github.io/Logging_2481/klagomål/A 24515-2025 FSC-klagomål.docx", "A 24515-2025")</f>
        <v/>
      </c>
      <c r="W136">
        <f>HYPERLINK("https://klasma.github.io/Logging_2481/klagomålsmail/A 24515-2025 FSC-klagomål mail.docx", "A 24515-2025")</f>
        <v/>
      </c>
      <c r="X136">
        <f>HYPERLINK("https://klasma.github.io/Logging_2481/tillsyn/A 24515-2025 tillsynsbegäran.docx", "A 24515-2025")</f>
        <v/>
      </c>
      <c r="Y136">
        <f>HYPERLINK("https://klasma.github.io/Logging_2481/tillsynsmail/A 24515-2025 tillsynsbegäran mail.docx", "A 24515-2025")</f>
        <v/>
      </c>
      <c r="Z136">
        <f>HYPERLINK("https://klasma.github.io/Logging_2481/fåglar/A 24515-2025 prioriterade fågelarter.docx", "A 24515-2025")</f>
        <v/>
      </c>
    </row>
    <row r="137" ht="15" customHeight="1">
      <c r="A137" t="inlineStr">
        <is>
          <t>A 58657-2023</t>
        </is>
      </c>
      <c r="B137" s="1" t="n">
        <v>45251</v>
      </c>
      <c r="C137" s="1" t="n">
        <v>45952</v>
      </c>
      <c r="D137" t="inlineStr">
        <is>
          <t>VÄSTERBOTTENS LÄN</t>
        </is>
      </c>
      <c r="E137" t="inlineStr">
        <is>
          <t>LYCKSELE</t>
        </is>
      </c>
      <c r="F137" t="inlineStr">
        <is>
          <t>Sveaskog</t>
        </is>
      </c>
      <c r="G137" t="n">
        <v>14.4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Bollvitmossa</t>
        </is>
      </c>
      <c r="S137">
        <f>HYPERLINK("https://klasma.github.io/Logging_2481/artfynd/A 58657-2023 artfynd.xlsx", "A 58657-2023")</f>
        <v/>
      </c>
      <c r="T137">
        <f>HYPERLINK("https://klasma.github.io/Logging_2481/kartor/A 58657-2023 karta.png", "A 58657-2023")</f>
        <v/>
      </c>
      <c r="V137">
        <f>HYPERLINK("https://klasma.github.io/Logging_2481/klagomål/A 58657-2023 FSC-klagomål.docx", "A 58657-2023")</f>
        <v/>
      </c>
      <c r="W137">
        <f>HYPERLINK("https://klasma.github.io/Logging_2481/klagomålsmail/A 58657-2023 FSC-klagomål mail.docx", "A 58657-2023")</f>
        <v/>
      </c>
      <c r="X137">
        <f>HYPERLINK("https://klasma.github.io/Logging_2481/tillsyn/A 58657-2023 tillsynsbegäran.docx", "A 58657-2023")</f>
        <v/>
      </c>
      <c r="Y137">
        <f>HYPERLINK("https://klasma.github.io/Logging_2481/tillsynsmail/A 58657-2023 tillsynsbegäran mail.docx", "A 58657-2023")</f>
        <v/>
      </c>
    </row>
    <row r="138" ht="15" customHeight="1">
      <c r="A138" t="inlineStr">
        <is>
          <t>A 5683-2025</t>
        </is>
      </c>
      <c r="B138" s="1" t="n">
        <v>45694.35394675926</v>
      </c>
      <c r="C138" s="1" t="n">
        <v>45952</v>
      </c>
      <c r="D138" t="inlineStr">
        <is>
          <t>VÄSTERBOTTENS LÄN</t>
        </is>
      </c>
      <c r="E138" t="inlineStr">
        <is>
          <t>LYCKSELE</t>
        </is>
      </c>
      <c r="G138" t="n">
        <v>4.4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Vitgrynig nållav</t>
        </is>
      </c>
      <c r="S138">
        <f>HYPERLINK("https://klasma.github.io/Logging_2481/artfynd/A 5683-2025 artfynd.xlsx", "A 5683-2025")</f>
        <v/>
      </c>
      <c r="T138">
        <f>HYPERLINK("https://klasma.github.io/Logging_2481/kartor/A 5683-2025 karta.png", "A 5683-2025")</f>
        <v/>
      </c>
      <c r="V138">
        <f>HYPERLINK("https://klasma.github.io/Logging_2481/klagomål/A 5683-2025 FSC-klagomål.docx", "A 5683-2025")</f>
        <v/>
      </c>
      <c r="W138">
        <f>HYPERLINK("https://klasma.github.io/Logging_2481/klagomålsmail/A 5683-2025 FSC-klagomål mail.docx", "A 5683-2025")</f>
        <v/>
      </c>
      <c r="X138">
        <f>HYPERLINK("https://klasma.github.io/Logging_2481/tillsyn/A 5683-2025 tillsynsbegäran.docx", "A 5683-2025")</f>
        <v/>
      </c>
      <c r="Y138">
        <f>HYPERLINK("https://klasma.github.io/Logging_2481/tillsynsmail/A 5683-2025 tillsynsbegäran mail.docx", "A 5683-2025")</f>
        <v/>
      </c>
    </row>
    <row r="139" ht="15" customHeight="1">
      <c r="A139" t="inlineStr">
        <is>
          <t>A 37669-2024</t>
        </is>
      </c>
      <c r="B139" s="1" t="n">
        <v>45541.57616898148</v>
      </c>
      <c r="C139" s="1" t="n">
        <v>45952</v>
      </c>
      <c r="D139" t="inlineStr">
        <is>
          <t>VÄSTERBOTTENS LÄN</t>
        </is>
      </c>
      <c r="E139" t="inlineStr">
        <is>
          <t>LYCKSELE</t>
        </is>
      </c>
      <c r="F139" t="inlineStr">
        <is>
          <t>Sveaskog</t>
        </is>
      </c>
      <c r="G139" t="n">
        <v>5.5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Dropptaggsvamp</t>
        </is>
      </c>
      <c r="S139">
        <f>HYPERLINK("https://klasma.github.io/Logging_2481/artfynd/A 37669-2024 artfynd.xlsx", "A 37669-2024")</f>
        <v/>
      </c>
      <c r="T139">
        <f>HYPERLINK("https://klasma.github.io/Logging_2481/kartor/A 37669-2024 karta.png", "A 37669-2024")</f>
        <v/>
      </c>
      <c r="V139">
        <f>HYPERLINK("https://klasma.github.io/Logging_2481/klagomål/A 37669-2024 FSC-klagomål.docx", "A 37669-2024")</f>
        <v/>
      </c>
      <c r="W139">
        <f>HYPERLINK("https://klasma.github.io/Logging_2481/klagomålsmail/A 37669-2024 FSC-klagomål mail.docx", "A 37669-2024")</f>
        <v/>
      </c>
      <c r="X139">
        <f>HYPERLINK("https://klasma.github.io/Logging_2481/tillsyn/A 37669-2024 tillsynsbegäran.docx", "A 37669-2024")</f>
        <v/>
      </c>
      <c r="Y139">
        <f>HYPERLINK("https://klasma.github.io/Logging_2481/tillsynsmail/A 37669-2024 tillsynsbegäran mail.docx", "A 37669-2024")</f>
        <v/>
      </c>
    </row>
    <row r="140" ht="15" customHeight="1">
      <c r="A140" t="inlineStr">
        <is>
          <t>A 49786-2025</t>
        </is>
      </c>
      <c r="B140" s="1" t="n">
        <v>45940.40097222223</v>
      </c>
      <c r="C140" s="1" t="n">
        <v>45952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Sveaskog</t>
        </is>
      </c>
      <c r="G140" t="n">
        <v>6.3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Dropptaggsvamp</t>
        </is>
      </c>
      <c r="S140">
        <f>HYPERLINK("https://klasma.github.io/Logging_2481/artfynd/A 49786-2025 artfynd.xlsx", "A 49786-2025")</f>
        <v/>
      </c>
      <c r="T140">
        <f>HYPERLINK("https://klasma.github.io/Logging_2481/kartor/A 49786-2025 karta.png", "A 49786-2025")</f>
        <v/>
      </c>
      <c r="V140">
        <f>HYPERLINK("https://klasma.github.io/Logging_2481/klagomål/A 49786-2025 FSC-klagomål.docx", "A 49786-2025")</f>
        <v/>
      </c>
      <c r="W140">
        <f>HYPERLINK("https://klasma.github.io/Logging_2481/klagomålsmail/A 49786-2025 FSC-klagomål mail.docx", "A 49786-2025")</f>
        <v/>
      </c>
      <c r="X140">
        <f>HYPERLINK("https://klasma.github.io/Logging_2481/tillsyn/A 49786-2025 tillsynsbegäran.docx", "A 49786-2025")</f>
        <v/>
      </c>
      <c r="Y140">
        <f>HYPERLINK("https://klasma.github.io/Logging_2481/tillsynsmail/A 49786-2025 tillsynsbegäran mail.docx", "A 49786-2025")</f>
        <v/>
      </c>
    </row>
    <row r="141" ht="15" customHeight="1">
      <c r="A141" t="inlineStr">
        <is>
          <t>A 72131-2021</t>
        </is>
      </c>
      <c r="B141" s="1" t="n">
        <v>44543</v>
      </c>
      <c r="C141" s="1" t="n">
        <v>45952</v>
      </c>
      <c r="D141" t="inlineStr">
        <is>
          <t>VÄSTERBOTTENS LÄN</t>
        </is>
      </c>
      <c r="E141" t="inlineStr">
        <is>
          <t>LYCKSELE</t>
        </is>
      </c>
      <c r="G141" t="n">
        <v>19.1</v>
      </c>
      <c r="H141" t="n">
        <v>1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Tretåig hackspett</t>
        </is>
      </c>
      <c r="S141">
        <f>HYPERLINK("https://klasma.github.io/Logging_2481/artfynd/A 72131-2021 artfynd.xlsx", "A 72131-2021")</f>
        <v/>
      </c>
      <c r="T141">
        <f>HYPERLINK("https://klasma.github.io/Logging_2481/kartor/A 72131-2021 karta.png", "A 72131-2021")</f>
        <v/>
      </c>
      <c r="V141">
        <f>HYPERLINK("https://klasma.github.io/Logging_2481/klagomål/A 72131-2021 FSC-klagomål.docx", "A 72131-2021")</f>
        <v/>
      </c>
      <c r="W141">
        <f>HYPERLINK("https://klasma.github.io/Logging_2481/klagomålsmail/A 72131-2021 FSC-klagomål mail.docx", "A 72131-2021")</f>
        <v/>
      </c>
      <c r="X141">
        <f>HYPERLINK("https://klasma.github.io/Logging_2481/tillsyn/A 72131-2021 tillsynsbegäran.docx", "A 72131-2021")</f>
        <v/>
      </c>
      <c r="Y141">
        <f>HYPERLINK("https://klasma.github.io/Logging_2481/tillsynsmail/A 72131-2021 tillsynsbegäran mail.docx", "A 72131-2021")</f>
        <v/>
      </c>
      <c r="Z141">
        <f>HYPERLINK("https://klasma.github.io/Logging_2481/fåglar/A 72131-2021 prioriterade fågelarter.docx", "A 72131-2021")</f>
        <v/>
      </c>
    </row>
    <row r="142" ht="15" customHeight="1">
      <c r="A142" t="inlineStr">
        <is>
          <t>A 50463-2025</t>
        </is>
      </c>
      <c r="B142" s="1" t="n">
        <v>45945.34695601852</v>
      </c>
      <c r="C142" s="1" t="n">
        <v>45952</v>
      </c>
      <c r="D142" t="inlineStr">
        <is>
          <t>VÄSTERBOTTENS LÄN</t>
        </is>
      </c>
      <c r="E142" t="inlineStr">
        <is>
          <t>LYCKSELE</t>
        </is>
      </c>
      <c r="F142" t="inlineStr">
        <is>
          <t>Sveaskog</t>
        </is>
      </c>
      <c r="G142" t="n">
        <v>2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Dropptaggsvamp</t>
        </is>
      </c>
      <c r="S142">
        <f>HYPERLINK("https://klasma.github.io/Logging_2481/artfynd/A 50463-2025 artfynd.xlsx", "A 50463-2025")</f>
        <v/>
      </c>
      <c r="T142">
        <f>HYPERLINK("https://klasma.github.io/Logging_2481/kartor/A 50463-2025 karta.png", "A 50463-2025")</f>
        <v/>
      </c>
      <c r="V142">
        <f>HYPERLINK("https://klasma.github.io/Logging_2481/klagomål/A 50463-2025 FSC-klagomål.docx", "A 50463-2025")</f>
        <v/>
      </c>
      <c r="W142">
        <f>HYPERLINK("https://klasma.github.io/Logging_2481/klagomålsmail/A 50463-2025 FSC-klagomål mail.docx", "A 50463-2025")</f>
        <v/>
      </c>
      <c r="X142">
        <f>HYPERLINK("https://klasma.github.io/Logging_2481/tillsyn/A 50463-2025 tillsynsbegäran.docx", "A 50463-2025")</f>
        <v/>
      </c>
      <c r="Y142">
        <f>HYPERLINK("https://klasma.github.io/Logging_2481/tillsynsmail/A 50463-2025 tillsynsbegäran mail.docx", "A 50463-2025")</f>
        <v/>
      </c>
    </row>
    <row r="143" ht="15" customHeight="1">
      <c r="A143" t="inlineStr">
        <is>
          <t>A 57618-2022</t>
        </is>
      </c>
      <c r="B143" s="1" t="n">
        <v>44897</v>
      </c>
      <c r="C143" s="1" t="n">
        <v>45952</v>
      </c>
      <c r="D143" t="inlineStr">
        <is>
          <t>VÄSTERBOTTENS LÄN</t>
        </is>
      </c>
      <c r="E143" t="inlineStr">
        <is>
          <t>LYCKSELE</t>
        </is>
      </c>
      <c r="F143" t="inlineStr">
        <is>
          <t>Holmen skog AB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1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Flodpärlmussla</t>
        </is>
      </c>
      <c r="S143">
        <f>HYPERLINK("https://klasma.github.io/Logging_2481/artfynd/A 57618-2022 artfynd.xlsx", "A 57618-2022")</f>
        <v/>
      </c>
      <c r="T143">
        <f>HYPERLINK("https://klasma.github.io/Logging_2481/kartor/A 57618-2022 karta.png", "A 57618-2022")</f>
        <v/>
      </c>
      <c r="V143">
        <f>HYPERLINK("https://klasma.github.io/Logging_2481/klagomål/A 57618-2022 FSC-klagomål.docx", "A 57618-2022")</f>
        <v/>
      </c>
      <c r="W143">
        <f>HYPERLINK("https://klasma.github.io/Logging_2481/klagomålsmail/A 57618-2022 FSC-klagomål mail.docx", "A 57618-2022")</f>
        <v/>
      </c>
      <c r="X143">
        <f>HYPERLINK("https://klasma.github.io/Logging_2481/tillsyn/A 57618-2022 tillsynsbegäran.docx", "A 57618-2022")</f>
        <v/>
      </c>
      <c r="Y143">
        <f>HYPERLINK("https://klasma.github.io/Logging_2481/tillsynsmail/A 57618-2022 tillsynsbegäran mail.docx", "A 57618-2022")</f>
        <v/>
      </c>
    </row>
    <row r="144" ht="15" customHeight="1">
      <c r="A144" t="inlineStr">
        <is>
          <t>A 28307-2025</t>
        </is>
      </c>
      <c r="B144" s="1" t="n">
        <v>45818.61664351852</v>
      </c>
      <c r="C144" s="1" t="n">
        <v>45952</v>
      </c>
      <c r="D144" t="inlineStr">
        <is>
          <t>VÄSTERBOTTENS LÄN</t>
        </is>
      </c>
      <c r="E144" t="inlineStr">
        <is>
          <t>LYCKSELE</t>
        </is>
      </c>
      <c r="F144" t="inlineStr">
        <is>
          <t>Sveaskog</t>
        </is>
      </c>
      <c r="G144" t="n">
        <v>3.6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Lunglav</t>
        </is>
      </c>
      <c r="S144">
        <f>HYPERLINK("https://klasma.github.io/Logging_2481/artfynd/A 28307-2025 artfynd.xlsx", "A 28307-2025")</f>
        <v/>
      </c>
      <c r="T144">
        <f>HYPERLINK("https://klasma.github.io/Logging_2481/kartor/A 28307-2025 karta.png", "A 28307-2025")</f>
        <v/>
      </c>
      <c r="V144">
        <f>HYPERLINK("https://klasma.github.io/Logging_2481/klagomål/A 28307-2025 FSC-klagomål.docx", "A 28307-2025")</f>
        <v/>
      </c>
      <c r="W144">
        <f>HYPERLINK("https://klasma.github.io/Logging_2481/klagomålsmail/A 28307-2025 FSC-klagomål mail.docx", "A 28307-2025")</f>
        <v/>
      </c>
      <c r="X144">
        <f>HYPERLINK("https://klasma.github.io/Logging_2481/tillsyn/A 28307-2025 tillsynsbegäran.docx", "A 28307-2025")</f>
        <v/>
      </c>
      <c r="Y144">
        <f>HYPERLINK("https://klasma.github.io/Logging_2481/tillsynsmail/A 28307-2025 tillsynsbegäran mail.docx", "A 28307-2025")</f>
        <v/>
      </c>
    </row>
    <row r="145" ht="15" customHeight="1">
      <c r="A145" t="inlineStr">
        <is>
          <t>A 28829-2025</t>
        </is>
      </c>
      <c r="B145" s="1" t="n">
        <v>45820.55273148148</v>
      </c>
      <c r="C145" s="1" t="n">
        <v>45952</v>
      </c>
      <c r="D145" t="inlineStr">
        <is>
          <t>VÄSTERBOTTENS LÄN</t>
        </is>
      </c>
      <c r="E145" t="inlineStr">
        <is>
          <t>LYCKSELE</t>
        </is>
      </c>
      <c r="F145" t="inlineStr">
        <is>
          <t>Sveaskog</t>
        </is>
      </c>
      <c r="G145" t="n">
        <v>9.9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Skarp dropptaggsvamp</t>
        </is>
      </c>
      <c r="S145">
        <f>HYPERLINK("https://klasma.github.io/Logging_2481/artfynd/A 28829-2025 artfynd.xlsx", "A 28829-2025")</f>
        <v/>
      </c>
      <c r="T145">
        <f>HYPERLINK("https://klasma.github.io/Logging_2481/kartor/A 28829-2025 karta.png", "A 28829-2025")</f>
        <v/>
      </c>
      <c r="V145">
        <f>HYPERLINK("https://klasma.github.io/Logging_2481/klagomål/A 28829-2025 FSC-klagomål.docx", "A 28829-2025")</f>
        <v/>
      </c>
      <c r="W145">
        <f>HYPERLINK("https://klasma.github.io/Logging_2481/klagomålsmail/A 28829-2025 FSC-klagomål mail.docx", "A 28829-2025")</f>
        <v/>
      </c>
      <c r="X145">
        <f>HYPERLINK("https://klasma.github.io/Logging_2481/tillsyn/A 28829-2025 tillsynsbegäran.docx", "A 28829-2025")</f>
        <v/>
      </c>
      <c r="Y145">
        <f>HYPERLINK("https://klasma.github.io/Logging_2481/tillsynsmail/A 28829-2025 tillsynsbegäran mail.docx", "A 28829-2025")</f>
        <v/>
      </c>
    </row>
    <row r="146" ht="15" customHeight="1">
      <c r="A146" t="inlineStr">
        <is>
          <t>A 55566-2024</t>
        </is>
      </c>
      <c r="B146" s="1" t="n">
        <v>45622</v>
      </c>
      <c r="C146" s="1" t="n">
        <v>45952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Sveaskog</t>
        </is>
      </c>
      <c r="G146" t="n">
        <v>1.8</v>
      </c>
      <c r="H146" t="n">
        <v>0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Harticka</t>
        </is>
      </c>
      <c r="S146">
        <f>HYPERLINK("https://klasma.github.io/Logging_2481/artfynd/A 55566-2024 artfynd.xlsx", "A 55566-2024")</f>
        <v/>
      </c>
      <c r="T146">
        <f>HYPERLINK("https://klasma.github.io/Logging_2481/kartor/A 55566-2024 karta.png", "A 55566-2024")</f>
        <v/>
      </c>
      <c r="V146">
        <f>HYPERLINK("https://klasma.github.io/Logging_2481/klagomål/A 55566-2024 FSC-klagomål.docx", "A 55566-2024")</f>
        <v/>
      </c>
      <c r="W146">
        <f>HYPERLINK("https://klasma.github.io/Logging_2481/klagomålsmail/A 55566-2024 FSC-klagomål mail.docx", "A 55566-2024")</f>
        <v/>
      </c>
      <c r="X146">
        <f>HYPERLINK("https://klasma.github.io/Logging_2481/tillsyn/A 55566-2024 tillsynsbegäran.docx", "A 55566-2024")</f>
        <v/>
      </c>
      <c r="Y146">
        <f>HYPERLINK("https://klasma.github.io/Logging_2481/tillsynsmail/A 55566-2024 tillsynsbegäran mail.docx", "A 55566-2024")</f>
        <v/>
      </c>
    </row>
    <row r="147" ht="15" customHeight="1">
      <c r="A147" t="inlineStr">
        <is>
          <t>A 30664-2025</t>
        </is>
      </c>
      <c r="B147" s="1" t="n">
        <v>45831.51394675926</v>
      </c>
      <c r="C147" s="1" t="n">
        <v>45952</v>
      </c>
      <c r="D147" t="inlineStr">
        <is>
          <t>VÄSTERBOTTENS LÄN</t>
        </is>
      </c>
      <c r="E147" t="inlineStr">
        <is>
          <t>LYCKSELE</t>
        </is>
      </c>
      <c r="F147" t="inlineStr">
        <is>
          <t>Sveaskog</t>
        </is>
      </c>
      <c r="G147" t="n">
        <v>7.1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Blå taggsvamp</t>
        </is>
      </c>
      <c r="S147">
        <f>HYPERLINK("https://klasma.github.io/Logging_2481/artfynd/A 30664-2025 artfynd.xlsx", "A 30664-2025")</f>
        <v/>
      </c>
      <c r="T147">
        <f>HYPERLINK("https://klasma.github.io/Logging_2481/kartor/A 30664-2025 karta.png", "A 30664-2025")</f>
        <v/>
      </c>
      <c r="V147">
        <f>HYPERLINK("https://klasma.github.io/Logging_2481/klagomål/A 30664-2025 FSC-klagomål.docx", "A 30664-2025")</f>
        <v/>
      </c>
      <c r="W147">
        <f>HYPERLINK("https://klasma.github.io/Logging_2481/klagomålsmail/A 30664-2025 FSC-klagomål mail.docx", "A 30664-2025")</f>
        <v/>
      </c>
      <c r="X147">
        <f>HYPERLINK("https://klasma.github.io/Logging_2481/tillsyn/A 30664-2025 tillsynsbegäran.docx", "A 30664-2025")</f>
        <v/>
      </c>
      <c r="Y147">
        <f>HYPERLINK("https://klasma.github.io/Logging_2481/tillsynsmail/A 30664-2025 tillsynsbegäran mail.docx", "A 30664-2025")</f>
        <v/>
      </c>
    </row>
    <row r="148" ht="15" customHeight="1">
      <c r="A148" t="inlineStr">
        <is>
          <t>A 30608-2025</t>
        </is>
      </c>
      <c r="B148" s="1" t="n">
        <v>45831.45858796296</v>
      </c>
      <c r="C148" s="1" t="n">
        <v>45952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Holmen skog AB</t>
        </is>
      </c>
      <c r="G148" t="n">
        <v>3.2</v>
      </c>
      <c r="H148" t="n">
        <v>0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Lunglav</t>
        </is>
      </c>
      <c r="S148">
        <f>HYPERLINK("https://klasma.github.io/Logging_2481/artfynd/A 30608-2025 artfynd.xlsx", "A 30608-2025")</f>
        <v/>
      </c>
      <c r="T148">
        <f>HYPERLINK("https://klasma.github.io/Logging_2481/kartor/A 30608-2025 karta.png", "A 30608-2025")</f>
        <v/>
      </c>
      <c r="V148">
        <f>HYPERLINK("https://klasma.github.io/Logging_2481/klagomål/A 30608-2025 FSC-klagomål.docx", "A 30608-2025")</f>
        <v/>
      </c>
      <c r="W148">
        <f>HYPERLINK("https://klasma.github.io/Logging_2481/klagomålsmail/A 30608-2025 FSC-klagomål mail.docx", "A 30608-2025")</f>
        <v/>
      </c>
      <c r="X148">
        <f>HYPERLINK("https://klasma.github.io/Logging_2481/tillsyn/A 30608-2025 tillsynsbegäran.docx", "A 30608-2025")</f>
        <v/>
      </c>
      <c r="Y148">
        <f>HYPERLINK("https://klasma.github.io/Logging_2481/tillsynsmail/A 30608-2025 tillsynsbegäran mail.docx", "A 30608-2025")</f>
        <v/>
      </c>
    </row>
    <row r="149" ht="15" customHeight="1">
      <c r="A149" t="inlineStr">
        <is>
          <t>A 31266-2025</t>
        </is>
      </c>
      <c r="B149" s="1" t="n">
        <v>45833.32979166666</v>
      </c>
      <c r="C149" s="1" t="n">
        <v>45952</v>
      </c>
      <c r="D149" t="inlineStr">
        <is>
          <t>VÄSTERBOTTENS LÄN</t>
        </is>
      </c>
      <c r="E149" t="inlineStr">
        <is>
          <t>LYCKSELE</t>
        </is>
      </c>
      <c r="F149" t="inlineStr">
        <is>
          <t>Sveaskog</t>
        </is>
      </c>
      <c r="G149" t="n">
        <v>4.4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Mörk kolflarnlav</t>
        </is>
      </c>
      <c r="S149">
        <f>HYPERLINK("https://klasma.github.io/Logging_2481/artfynd/A 31266-2025 artfynd.xlsx", "A 31266-2025")</f>
        <v/>
      </c>
      <c r="T149">
        <f>HYPERLINK("https://klasma.github.io/Logging_2481/kartor/A 31266-2025 karta.png", "A 31266-2025")</f>
        <v/>
      </c>
      <c r="V149">
        <f>HYPERLINK("https://klasma.github.io/Logging_2481/klagomål/A 31266-2025 FSC-klagomål.docx", "A 31266-2025")</f>
        <v/>
      </c>
      <c r="W149">
        <f>HYPERLINK("https://klasma.github.io/Logging_2481/klagomålsmail/A 31266-2025 FSC-klagomål mail.docx", "A 31266-2025")</f>
        <v/>
      </c>
      <c r="X149">
        <f>HYPERLINK("https://klasma.github.io/Logging_2481/tillsyn/A 31266-2025 tillsynsbegäran.docx", "A 31266-2025")</f>
        <v/>
      </c>
      <c r="Y149">
        <f>HYPERLINK("https://klasma.github.io/Logging_2481/tillsynsmail/A 31266-2025 tillsynsbegäran mail.docx", "A 31266-2025")</f>
        <v/>
      </c>
    </row>
    <row r="150" ht="15" customHeight="1">
      <c r="A150" t="inlineStr">
        <is>
          <t>A 49125-2024</t>
        </is>
      </c>
      <c r="B150" s="1" t="n">
        <v>45594</v>
      </c>
      <c r="C150" s="1" t="n">
        <v>45952</v>
      </c>
      <c r="D150" t="inlineStr">
        <is>
          <t>VÄSTERBOTTENS LÄN</t>
        </is>
      </c>
      <c r="E150" t="inlineStr">
        <is>
          <t>LYCKSELE</t>
        </is>
      </c>
      <c r="F150" t="inlineStr">
        <is>
          <t>Sveaskog</t>
        </is>
      </c>
      <c r="G150" t="n">
        <v>6.7</v>
      </c>
      <c r="H150" t="n">
        <v>1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Knärot</t>
        </is>
      </c>
      <c r="S150">
        <f>HYPERLINK("https://klasma.github.io/Logging_2481/artfynd/A 49125-2024 artfynd.xlsx", "A 49125-2024")</f>
        <v/>
      </c>
      <c r="T150">
        <f>HYPERLINK("https://klasma.github.io/Logging_2481/kartor/A 49125-2024 karta.png", "A 49125-2024")</f>
        <v/>
      </c>
      <c r="U150">
        <f>HYPERLINK("https://klasma.github.io/Logging_2481/knärot/A 49125-2024 karta knärot.png", "A 49125-2024")</f>
        <v/>
      </c>
      <c r="V150">
        <f>HYPERLINK("https://klasma.github.io/Logging_2481/klagomål/A 49125-2024 FSC-klagomål.docx", "A 49125-2024")</f>
        <v/>
      </c>
      <c r="W150">
        <f>HYPERLINK("https://klasma.github.io/Logging_2481/klagomålsmail/A 49125-2024 FSC-klagomål mail.docx", "A 49125-2024")</f>
        <v/>
      </c>
      <c r="X150">
        <f>HYPERLINK("https://klasma.github.io/Logging_2481/tillsyn/A 49125-2024 tillsynsbegäran.docx", "A 49125-2024")</f>
        <v/>
      </c>
      <c r="Y150">
        <f>HYPERLINK("https://klasma.github.io/Logging_2481/tillsynsmail/A 49125-2024 tillsynsbegäran mail.docx", "A 49125-2024")</f>
        <v/>
      </c>
    </row>
    <row r="151" ht="15" customHeight="1">
      <c r="A151" t="inlineStr">
        <is>
          <t>A 34958-2025</t>
        </is>
      </c>
      <c r="B151" s="1" t="n">
        <v>45849.61287037037</v>
      </c>
      <c r="C151" s="1" t="n">
        <v>45952</v>
      </c>
      <c r="D151" t="inlineStr">
        <is>
          <t>VÄSTERBOTTENS LÄN</t>
        </is>
      </c>
      <c r="E151" t="inlineStr">
        <is>
          <t>LYCKSELE</t>
        </is>
      </c>
      <c r="F151" t="inlineStr">
        <is>
          <t>Sveaskog</t>
        </is>
      </c>
      <c r="G151" t="n">
        <v>4.1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HYPERLINK("https://klasma.github.io/Logging_2481/artfynd/A 34958-2025 artfynd.xlsx", "A 34958-2025")</f>
        <v/>
      </c>
      <c r="T151">
        <f>HYPERLINK("https://klasma.github.io/Logging_2481/kartor/A 34958-2025 karta.png", "A 34958-2025")</f>
        <v/>
      </c>
      <c r="V151">
        <f>HYPERLINK("https://klasma.github.io/Logging_2481/klagomål/A 34958-2025 FSC-klagomål.docx", "A 34958-2025")</f>
        <v/>
      </c>
      <c r="W151">
        <f>HYPERLINK("https://klasma.github.io/Logging_2481/klagomålsmail/A 34958-2025 FSC-klagomål mail.docx", "A 34958-2025")</f>
        <v/>
      </c>
      <c r="X151">
        <f>HYPERLINK("https://klasma.github.io/Logging_2481/tillsyn/A 34958-2025 tillsynsbegäran.docx", "A 34958-2025")</f>
        <v/>
      </c>
      <c r="Y151">
        <f>HYPERLINK("https://klasma.github.io/Logging_2481/tillsynsmail/A 34958-2025 tillsynsbegäran mail.docx", "A 34958-2025")</f>
        <v/>
      </c>
      <c r="Z151">
        <f>HYPERLINK("https://klasma.github.io/Logging_2481/fåglar/A 34958-2025 prioriterade fågelarter.docx", "A 34958-2025")</f>
        <v/>
      </c>
    </row>
    <row r="152" ht="15" customHeight="1">
      <c r="A152" t="inlineStr">
        <is>
          <t>A 35239-2025</t>
        </is>
      </c>
      <c r="B152" s="1" t="n">
        <v>45853.61649305555</v>
      </c>
      <c r="C152" s="1" t="n">
        <v>45952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Sveaskog</t>
        </is>
      </c>
      <c r="G152" t="n">
        <v>8.699999999999999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Gammelgransskål</t>
        </is>
      </c>
      <c r="S152">
        <f>HYPERLINK("https://klasma.github.io/Logging_2481/artfynd/A 35239-2025 artfynd.xlsx", "A 35239-2025")</f>
        <v/>
      </c>
      <c r="T152">
        <f>HYPERLINK("https://klasma.github.io/Logging_2481/kartor/A 35239-2025 karta.png", "A 35239-2025")</f>
        <v/>
      </c>
      <c r="V152">
        <f>HYPERLINK("https://klasma.github.io/Logging_2481/klagomål/A 35239-2025 FSC-klagomål.docx", "A 35239-2025")</f>
        <v/>
      </c>
      <c r="W152">
        <f>HYPERLINK("https://klasma.github.io/Logging_2481/klagomålsmail/A 35239-2025 FSC-klagomål mail.docx", "A 35239-2025")</f>
        <v/>
      </c>
      <c r="X152">
        <f>HYPERLINK("https://klasma.github.io/Logging_2481/tillsyn/A 35239-2025 tillsynsbegäran.docx", "A 35239-2025")</f>
        <v/>
      </c>
      <c r="Y152">
        <f>HYPERLINK("https://klasma.github.io/Logging_2481/tillsynsmail/A 35239-2025 tillsynsbegäran mail.docx", "A 35239-2025")</f>
        <v/>
      </c>
    </row>
    <row r="153" ht="15" customHeight="1">
      <c r="A153" t="inlineStr">
        <is>
          <t>A 35233-2025</t>
        </is>
      </c>
      <c r="B153" s="1" t="n">
        <v>45853.59981481481</v>
      </c>
      <c r="C153" s="1" t="n">
        <v>45952</v>
      </c>
      <c r="D153" t="inlineStr">
        <is>
          <t>VÄSTERBOTTENS LÄN</t>
        </is>
      </c>
      <c r="E153" t="inlineStr">
        <is>
          <t>LYCKSELE</t>
        </is>
      </c>
      <c r="F153" t="inlineStr">
        <is>
          <t>Sveaskog</t>
        </is>
      </c>
      <c r="G153" t="n">
        <v>21.5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Lunglav</t>
        </is>
      </c>
      <c r="S153">
        <f>HYPERLINK("https://klasma.github.io/Logging_2481/artfynd/A 35233-2025 artfynd.xlsx", "A 35233-2025")</f>
        <v/>
      </c>
      <c r="T153">
        <f>HYPERLINK("https://klasma.github.io/Logging_2481/kartor/A 35233-2025 karta.png", "A 35233-2025")</f>
        <v/>
      </c>
      <c r="V153">
        <f>HYPERLINK("https://klasma.github.io/Logging_2481/klagomål/A 35233-2025 FSC-klagomål.docx", "A 35233-2025")</f>
        <v/>
      </c>
      <c r="W153">
        <f>HYPERLINK("https://klasma.github.io/Logging_2481/klagomålsmail/A 35233-2025 FSC-klagomål mail.docx", "A 35233-2025")</f>
        <v/>
      </c>
      <c r="X153">
        <f>HYPERLINK("https://klasma.github.io/Logging_2481/tillsyn/A 35233-2025 tillsynsbegäran.docx", "A 35233-2025")</f>
        <v/>
      </c>
      <c r="Y153">
        <f>HYPERLINK("https://klasma.github.io/Logging_2481/tillsynsmail/A 35233-2025 tillsynsbegäran mail.docx", "A 35233-2025")</f>
        <v/>
      </c>
    </row>
    <row r="154" ht="15" customHeight="1">
      <c r="A154" t="inlineStr">
        <is>
          <t>A 35226-2025</t>
        </is>
      </c>
      <c r="B154" s="1" t="n">
        <v>45853.58109953703</v>
      </c>
      <c r="C154" s="1" t="n">
        <v>45952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Sveaskog</t>
        </is>
      </c>
      <c r="G154" t="n">
        <v>14.7</v>
      </c>
      <c r="H154" t="n">
        <v>1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Tretåig hackspett</t>
        </is>
      </c>
      <c r="S154">
        <f>HYPERLINK("https://klasma.github.io/Logging_2481/artfynd/A 35226-2025 artfynd.xlsx", "A 35226-2025")</f>
        <v/>
      </c>
      <c r="T154">
        <f>HYPERLINK("https://klasma.github.io/Logging_2481/kartor/A 35226-2025 karta.png", "A 35226-2025")</f>
        <v/>
      </c>
      <c r="V154">
        <f>HYPERLINK("https://klasma.github.io/Logging_2481/klagomål/A 35226-2025 FSC-klagomål.docx", "A 35226-2025")</f>
        <v/>
      </c>
      <c r="W154">
        <f>HYPERLINK("https://klasma.github.io/Logging_2481/klagomålsmail/A 35226-2025 FSC-klagomål mail.docx", "A 35226-2025")</f>
        <v/>
      </c>
      <c r="X154">
        <f>HYPERLINK("https://klasma.github.io/Logging_2481/tillsyn/A 35226-2025 tillsynsbegäran.docx", "A 35226-2025")</f>
        <v/>
      </c>
      <c r="Y154">
        <f>HYPERLINK("https://klasma.github.io/Logging_2481/tillsynsmail/A 35226-2025 tillsynsbegäran mail.docx", "A 35226-2025")</f>
        <v/>
      </c>
      <c r="Z154">
        <f>HYPERLINK("https://klasma.github.io/Logging_2481/fåglar/A 35226-2025 prioriterade fågelarter.docx", "A 35226-2025")</f>
        <v/>
      </c>
    </row>
    <row r="155" ht="15" customHeight="1">
      <c r="A155" t="inlineStr">
        <is>
          <t>A 35981-2025</t>
        </is>
      </c>
      <c r="B155" s="1" t="n">
        <v>45863.44873842593</v>
      </c>
      <c r="C155" s="1" t="n">
        <v>45952</v>
      </c>
      <c r="D155" t="inlineStr">
        <is>
          <t>VÄSTERBOTTENS LÄN</t>
        </is>
      </c>
      <c r="E155" t="inlineStr">
        <is>
          <t>LYCKSELE</t>
        </is>
      </c>
      <c r="F155" t="inlineStr">
        <is>
          <t>Sveaskog</t>
        </is>
      </c>
      <c r="G155" t="n">
        <v>6.1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Dropptaggsvamp</t>
        </is>
      </c>
      <c r="S155">
        <f>HYPERLINK("https://klasma.github.io/Logging_2481/artfynd/A 35981-2025 artfynd.xlsx", "A 35981-2025")</f>
        <v/>
      </c>
      <c r="T155">
        <f>HYPERLINK("https://klasma.github.io/Logging_2481/kartor/A 35981-2025 karta.png", "A 35981-2025")</f>
        <v/>
      </c>
      <c r="V155">
        <f>HYPERLINK("https://klasma.github.io/Logging_2481/klagomål/A 35981-2025 FSC-klagomål.docx", "A 35981-2025")</f>
        <v/>
      </c>
      <c r="W155">
        <f>HYPERLINK("https://klasma.github.io/Logging_2481/klagomålsmail/A 35981-2025 FSC-klagomål mail.docx", "A 35981-2025")</f>
        <v/>
      </c>
      <c r="X155">
        <f>HYPERLINK("https://klasma.github.io/Logging_2481/tillsyn/A 35981-2025 tillsynsbegäran.docx", "A 35981-2025")</f>
        <v/>
      </c>
      <c r="Y155">
        <f>HYPERLINK("https://klasma.github.io/Logging_2481/tillsynsmail/A 35981-2025 tillsynsbegäran mail.docx", "A 35981-2025")</f>
        <v/>
      </c>
    </row>
    <row r="156" ht="15" customHeight="1">
      <c r="A156" t="inlineStr">
        <is>
          <t>A 44331-2025</t>
        </is>
      </c>
      <c r="B156" s="1" t="n">
        <v>45916.42150462963</v>
      </c>
      <c r="C156" s="1" t="n">
        <v>45952</v>
      </c>
      <c r="D156" t="inlineStr">
        <is>
          <t>VÄSTERBOTTENS LÄN</t>
        </is>
      </c>
      <c r="E156" t="inlineStr">
        <is>
          <t>LYCKSELE</t>
        </is>
      </c>
      <c r="F156" t="inlineStr">
        <is>
          <t>Sveaskog</t>
        </is>
      </c>
      <c r="G156" t="n">
        <v>4.8</v>
      </c>
      <c r="H156" t="n">
        <v>0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Kolflarnlav</t>
        </is>
      </c>
      <c r="S156">
        <f>HYPERLINK("https://klasma.github.io/Logging_2481/artfynd/A 44331-2025 artfynd.xlsx", "A 44331-2025")</f>
        <v/>
      </c>
      <c r="T156">
        <f>HYPERLINK("https://klasma.github.io/Logging_2481/kartor/A 44331-2025 karta.png", "A 44331-2025")</f>
        <v/>
      </c>
      <c r="V156">
        <f>HYPERLINK("https://klasma.github.io/Logging_2481/klagomål/A 44331-2025 FSC-klagomål.docx", "A 44331-2025")</f>
        <v/>
      </c>
      <c r="W156">
        <f>HYPERLINK("https://klasma.github.io/Logging_2481/klagomålsmail/A 44331-2025 FSC-klagomål mail.docx", "A 44331-2025")</f>
        <v/>
      </c>
      <c r="X156">
        <f>HYPERLINK("https://klasma.github.io/Logging_2481/tillsyn/A 44331-2025 tillsynsbegäran.docx", "A 44331-2025")</f>
        <v/>
      </c>
      <c r="Y156">
        <f>HYPERLINK("https://klasma.github.io/Logging_2481/tillsynsmail/A 44331-2025 tillsynsbegäran mail.docx", "A 44331-2025")</f>
        <v/>
      </c>
    </row>
    <row r="157" ht="15" customHeight="1">
      <c r="A157" t="inlineStr">
        <is>
          <t>A 45127-2025</t>
        </is>
      </c>
      <c r="B157" s="1" t="n">
        <v>45919.43388888889</v>
      </c>
      <c r="C157" s="1" t="n">
        <v>45952</v>
      </c>
      <c r="D157" t="inlineStr">
        <is>
          <t>VÄSTERBOTTENS LÄN</t>
        </is>
      </c>
      <c r="E157" t="inlineStr">
        <is>
          <t>LYCKSELE</t>
        </is>
      </c>
      <c r="F157" t="inlineStr">
        <is>
          <t>Sveaskog</t>
        </is>
      </c>
      <c r="G157" t="n">
        <v>21.6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Kolflarnlav</t>
        </is>
      </c>
      <c r="S157">
        <f>HYPERLINK("https://klasma.github.io/Logging_2481/artfynd/A 45127-2025 artfynd.xlsx", "A 45127-2025")</f>
        <v/>
      </c>
      <c r="T157">
        <f>HYPERLINK("https://klasma.github.io/Logging_2481/kartor/A 45127-2025 karta.png", "A 45127-2025")</f>
        <v/>
      </c>
      <c r="V157">
        <f>HYPERLINK("https://klasma.github.io/Logging_2481/klagomål/A 45127-2025 FSC-klagomål.docx", "A 45127-2025")</f>
        <v/>
      </c>
      <c r="W157">
        <f>HYPERLINK("https://klasma.github.io/Logging_2481/klagomålsmail/A 45127-2025 FSC-klagomål mail.docx", "A 45127-2025")</f>
        <v/>
      </c>
      <c r="X157">
        <f>HYPERLINK("https://klasma.github.io/Logging_2481/tillsyn/A 45127-2025 tillsynsbegäran.docx", "A 45127-2025")</f>
        <v/>
      </c>
      <c r="Y157">
        <f>HYPERLINK("https://klasma.github.io/Logging_2481/tillsynsmail/A 45127-2025 tillsynsbegäran mail.docx", "A 45127-2025")</f>
        <v/>
      </c>
    </row>
    <row r="158" ht="15" customHeight="1">
      <c r="A158" t="inlineStr">
        <is>
          <t>A 44974-2025</t>
        </is>
      </c>
      <c r="B158" s="1" t="n">
        <v>45918.64247685186</v>
      </c>
      <c r="C158" s="1" t="n">
        <v>45952</v>
      </c>
      <c r="D158" t="inlineStr">
        <is>
          <t>VÄSTERBOTTENS LÄN</t>
        </is>
      </c>
      <c r="E158" t="inlineStr">
        <is>
          <t>LYCKSELE</t>
        </is>
      </c>
      <c r="F158" t="inlineStr">
        <is>
          <t>Sveaskog</t>
        </is>
      </c>
      <c r="G158" t="n">
        <v>19.2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Kolflarnlav</t>
        </is>
      </c>
      <c r="S158">
        <f>HYPERLINK("https://klasma.github.io/Logging_2481/artfynd/A 44974-2025 artfynd.xlsx", "A 44974-2025")</f>
        <v/>
      </c>
      <c r="T158">
        <f>HYPERLINK("https://klasma.github.io/Logging_2481/kartor/A 44974-2025 karta.png", "A 44974-2025")</f>
        <v/>
      </c>
      <c r="V158">
        <f>HYPERLINK("https://klasma.github.io/Logging_2481/klagomål/A 44974-2025 FSC-klagomål.docx", "A 44974-2025")</f>
        <v/>
      </c>
      <c r="W158">
        <f>HYPERLINK("https://klasma.github.io/Logging_2481/klagomålsmail/A 44974-2025 FSC-klagomål mail.docx", "A 44974-2025")</f>
        <v/>
      </c>
      <c r="X158">
        <f>HYPERLINK("https://klasma.github.io/Logging_2481/tillsyn/A 44974-2025 tillsynsbegäran.docx", "A 44974-2025")</f>
        <v/>
      </c>
      <c r="Y158">
        <f>HYPERLINK("https://klasma.github.io/Logging_2481/tillsynsmail/A 44974-2025 tillsynsbegäran mail.docx", "A 44974-2025")</f>
        <v/>
      </c>
    </row>
    <row r="159" ht="15" customHeight="1">
      <c r="A159" t="inlineStr">
        <is>
          <t>A 37828-2025</t>
        </is>
      </c>
      <c r="B159" s="1" t="n">
        <v>45881.41111111111</v>
      </c>
      <c r="C159" s="1" t="n">
        <v>45952</v>
      </c>
      <c r="D159" t="inlineStr">
        <is>
          <t>VÄSTERBOTTENS LÄN</t>
        </is>
      </c>
      <c r="E159" t="inlineStr">
        <is>
          <t>LYCKSELE</t>
        </is>
      </c>
      <c r="F159" t="inlineStr">
        <is>
          <t>Sveaskog</t>
        </is>
      </c>
      <c r="G159" t="n">
        <v>28.4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Fläcknycklar</t>
        </is>
      </c>
      <c r="S159">
        <f>HYPERLINK("https://klasma.github.io/Logging_2481/artfynd/A 37828-2025 artfynd.xlsx", "A 37828-2025")</f>
        <v/>
      </c>
      <c r="T159">
        <f>HYPERLINK("https://klasma.github.io/Logging_2481/kartor/A 37828-2025 karta.png", "A 37828-2025")</f>
        <v/>
      </c>
      <c r="V159">
        <f>HYPERLINK("https://klasma.github.io/Logging_2481/klagomål/A 37828-2025 FSC-klagomål.docx", "A 37828-2025")</f>
        <v/>
      </c>
      <c r="W159">
        <f>HYPERLINK("https://klasma.github.io/Logging_2481/klagomålsmail/A 37828-2025 FSC-klagomål mail.docx", "A 37828-2025")</f>
        <v/>
      </c>
      <c r="X159">
        <f>HYPERLINK("https://klasma.github.io/Logging_2481/tillsyn/A 37828-2025 tillsynsbegäran.docx", "A 37828-2025")</f>
        <v/>
      </c>
      <c r="Y159">
        <f>HYPERLINK("https://klasma.github.io/Logging_2481/tillsynsmail/A 37828-2025 tillsynsbegäran mail.docx", "A 37828-2025")</f>
        <v/>
      </c>
    </row>
    <row r="160" ht="15" customHeight="1">
      <c r="A160" t="inlineStr">
        <is>
          <t>A 219-2025</t>
        </is>
      </c>
      <c r="B160" s="1" t="n">
        <v>45660.34533564815</v>
      </c>
      <c r="C160" s="1" t="n">
        <v>45952</v>
      </c>
      <c r="D160" t="inlineStr">
        <is>
          <t>VÄSTERBOTTENS LÄN</t>
        </is>
      </c>
      <c r="E160" t="inlineStr">
        <is>
          <t>LYCKSELE</t>
        </is>
      </c>
      <c r="F160" t="inlineStr">
        <is>
          <t>Sveaskog</t>
        </is>
      </c>
      <c r="G160" t="n">
        <v>2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Dropptaggsvamp</t>
        </is>
      </c>
      <c r="S160">
        <f>HYPERLINK("https://klasma.github.io/Logging_2481/artfynd/A 219-2025 artfynd.xlsx", "A 219-2025")</f>
        <v/>
      </c>
      <c r="T160">
        <f>HYPERLINK("https://klasma.github.io/Logging_2481/kartor/A 219-2025 karta.png", "A 219-2025")</f>
        <v/>
      </c>
      <c r="V160">
        <f>HYPERLINK("https://klasma.github.io/Logging_2481/klagomål/A 219-2025 FSC-klagomål.docx", "A 219-2025")</f>
        <v/>
      </c>
      <c r="W160">
        <f>HYPERLINK("https://klasma.github.io/Logging_2481/klagomålsmail/A 219-2025 FSC-klagomål mail.docx", "A 219-2025")</f>
        <v/>
      </c>
      <c r="X160">
        <f>HYPERLINK("https://klasma.github.io/Logging_2481/tillsyn/A 219-2025 tillsynsbegäran.docx", "A 219-2025")</f>
        <v/>
      </c>
      <c r="Y160">
        <f>HYPERLINK("https://klasma.github.io/Logging_2481/tillsynsmail/A 219-2025 tillsynsbegäran mail.docx", "A 219-2025")</f>
        <v/>
      </c>
    </row>
    <row r="161" ht="15" customHeight="1">
      <c r="A161" t="inlineStr">
        <is>
          <t>A 33222-2021</t>
        </is>
      </c>
      <c r="B161" s="1" t="n">
        <v>44376</v>
      </c>
      <c r="C161" s="1" t="n">
        <v>45952</v>
      </c>
      <c r="D161" t="inlineStr">
        <is>
          <t>VÄSTERBOTTENS LÄN</t>
        </is>
      </c>
      <c r="E161" t="inlineStr">
        <is>
          <t>LYCKSELE</t>
        </is>
      </c>
      <c r="F161" t="inlineStr">
        <is>
          <t>SCA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59261-2020</t>
        </is>
      </c>
      <c r="B162" s="1" t="n">
        <v>44147</v>
      </c>
      <c r="C162" s="1" t="n">
        <v>45952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36046-2021</t>
        </is>
      </c>
      <c r="B163" s="1" t="n">
        <v>44386</v>
      </c>
      <c r="C163" s="1" t="n">
        <v>45952</v>
      </c>
      <c r="D163" t="inlineStr">
        <is>
          <t>VÄSTERBOTTENS LÄN</t>
        </is>
      </c>
      <c r="E163" t="inlineStr">
        <is>
          <t>LYCKSELE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60044-2021</t>
        </is>
      </c>
      <c r="B164" s="1" t="n">
        <v>44495</v>
      </c>
      <c r="C164" s="1" t="n">
        <v>45952</v>
      </c>
      <c r="D164" t="inlineStr">
        <is>
          <t>VÄSTERBOTTENS LÄN</t>
        </is>
      </c>
      <c r="E164" t="inlineStr">
        <is>
          <t>LYCKSELE</t>
        </is>
      </c>
      <c r="F164" t="inlineStr">
        <is>
          <t>Sveaskog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37987-2021</t>
        </is>
      </c>
      <c r="B165" s="1" t="n">
        <v>44403</v>
      </c>
      <c r="C165" s="1" t="n">
        <v>45952</v>
      </c>
      <c r="D165" t="inlineStr">
        <is>
          <t>VÄSTERBOTTENS LÄN</t>
        </is>
      </c>
      <c r="E165" t="inlineStr">
        <is>
          <t>LYCKSELE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36846-2022</t>
        </is>
      </c>
      <c r="B166" s="1" t="n">
        <v>44805.5905324074</v>
      </c>
      <c r="C166" s="1" t="n">
        <v>45952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Holmen skog AB</t>
        </is>
      </c>
      <c r="G166" t="n">
        <v>5.5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615-2022</t>
        </is>
      </c>
      <c r="B167" s="1" t="n">
        <v>44567.84981481481</v>
      </c>
      <c r="C167" s="1" t="n">
        <v>45952</v>
      </c>
      <c r="D167" t="inlineStr">
        <is>
          <t>VÄSTERBOTTENS LÄN</t>
        </is>
      </c>
      <c r="E167" t="inlineStr">
        <is>
          <t>LYCKSELE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42144-2021</t>
        </is>
      </c>
      <c r="B168" s="1" t="n">
        <v>44426</v>
      </c>
      <c r="C168" s="1" t="n">
        <v>45952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57821-2021</t>
        </is>
      </c>
      <c r="B169" s="1" t="n">
        <v>44484.65474537037</v>
      </c>
      <c r="C169" s="1" t="n">
        <v>45952</v>
      </c>
      <c r="D169" t="inlineStr">
        <is>
          <t>VÄSTERBOTTENS LÄN</t>
        </is>
      </c>
      <c r="E169" t="inlineStr">
        <is>
          <t>LYCKSELE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3368-2022</t>
        </is>
      </c>
      <c r="B170" s="1" t="n">
        <v>44585</v>
      </c>
      <c r="C170" s="1" t="n">
        <v>45952</v>
      </c>
      <c r="D170" t="inlineStr">
        <is>
          <t>VÄSTERBOTTENS LÄN</t>
        </is>
      </c>
      <c r="E170" t="inlineStr">
        <is>
          <t>LYCKSELE</t>
        </is>
      </c>
      <c r="G170" t="n">
        <v>11.8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59546-2020</t>
        </is>
      </c>
      <c r="B171" s="1" t="n">
        <v>44148</v>
      </c>
      <c r="C171" s="1" t="n">
        <v>45952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Holmen skog AB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47018-2021</t>
        </is>
      </c>
      <c r="B172" s="1" t="n">
        <v>44446.59321759259</v>
      </c>
      <c r="C172" s="1" t="n">
        <v>45952</v>
      </c>
      <c r="D172" t="inlineStr">
        <is>
          <t>VÄSTERBOTTENS LÄN</t>
        </is>
      </c>
      <c r="E172" t="inlineStr">
        <is>
          <t>LYCKSELE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53979-2021</t>
        </is>
      </c>
      <c r="B173" s="1" t="n">
        <v>44469</v>
      </c>
      <c r="C173" s="1" t="n">
        <v>45952</v>
      </c>
      <c r="D173" t="inlineStr">
        <is>
          <t>VÄSTERBOTTENS LÄN</t>
        </is>
      </c>
      <c r="E173" t="inlineStr">
        <is>
          <t>LYCKSELE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35943-2021</t>
        </is>
      </c>
      <c r="B174" s="1" t="n">
        <v>44388.59247685185</v>
      </c>
      <c r="C174" s="1" t="n">
        <v>45952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37979-2021</t>
        </is>
      </c>
      <c r="B175" s="1" t="n">
        <v>44403</v>
      </c>
      <c r="C175" s="1" t="n">
        <v>45952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70213-2021</t>
        </is>
      </c>
      <c r="B176" s="1" t="n">
        <v>44535.39266203704</v>
      </c>
      <c r="C176" s="1" t="n">
        <v>45952</v>
      </c>
      <c r="D176" t="inlineStr">
        <is>
          <t>VÄSTERBOTTENS LÄN</t>
        </is>
      </c>
      <c r="E176" t="inlineStr">
        <is>
          <t>LYCKSELE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33235-2022</t>
        </is>
      </c>
      <c r="B177" s="1" t="n">
        <v>44785.94342592593</v>
      </c>
      <c r="C177" s="1" t="n">
        <v>45952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SCA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53389-2022</t>
        </is>
      </c>
      <c r="B178" s="1" t="n">
        <v>44874</v>
      </c>
      <c r="C178" s="1" t="n">
        <v>45952</v>
      </c>
      <c r="D178" t="inlineStr">
        <is>
          <t>VÄSTERBOTTENS LÄN</t>
        </is>
      </c>
      <c r="E178" t="inlineStr">
        <is>
          <t>LYCKSELE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27945-2021</t>
        </is>
      </c>
      <c r="B179" s="1" t="n">
        <v>44354</v>
      </c>
      <c r="C179" s="1" t="n">
        <v>45952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32663-2022</t>
        </is>
      </c>
      <c r="B180" s="1" t="n">
        <v>44783.5321875</v>
      </c>
      <c r="C180" s="1" t="n">
        <v>45952</v>
      </c>
      <c r="D180" t="inlineStr">
        <is>
          <t>VÄSTERBOTTENS LÄN</t>
        </is>
      </c>
      <c r="E180" t="inlineStr">
        <is>
          <t>LYCKSELE</t>
        </is>
      </c>
      <c r="F180" t="inlineStr">
        <is>
          <t>Sveaskog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47708-2021</t>
        </is>
      </c>
      <c r="B181" s="1" t="n">
        <v>44448.48563657407</v>
      </c>
      <c r="C181" s="1" t="n">
        <v>45952</v>
      </c>
      <c r="D181" t="inlineStr">
        <is>
          <t>VÄSTERBOTTENS LÄN</t>
        </is>
      </c>
      <c r="E181" t="inlineStr">
        <is>
          <t>LYCKSELE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36054-2022</t>
        </is>
      </c>
      <c r="B182" s="1" t="n">
        <v>44802.7690625</v>
      </c>
      <c r="C182" s="1" t="n">
        <v>45952</v>
      </c>
      <c r="D182" t="inlineStr">
        <is>
          <t>VÄSTERBOTTENS LÄN</t>
        </is>
      </c>
      <c r="E182" t="inlineStr">
        <is>
          <t>LYCKSELE</t>
        </is>
      </c>
      <c r="F182" t="inlineStr">
        <is>
          <t>Holmen skog AB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55565-2021</t>
        </is>
      </c>
      <c r="B183" s="1" t="n">
        <v>44475</v>
      </c>
      <c r="C183" s="1" t="n">
        <v>45952</v>
      </c>
      <c r="D183" t="inlineStr">
        <is>
          <t>VÄSTERBOTTENS LÄN</t>
        </is>
      </c>
      <c r="E183" t="inlineStr">
        <is>
          <t>LYCKSELE</t>
        </is>
      </c>
      <c r="F183" t="inlineStr">
        <is>
          <t>Holmen skog AB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22076-2022</t>
        </is>
      </c>
      <c r="B184" s="1" t="n">
        <v>44711</v>
      </c>
      <c r="C184" s="1" t="n">
        <v>45952</v>
      </c>
      <c r="D184" t="inlineStr">
        <is>
          <t>VÄSTERBOTTENS LÄN</t>
        </is>
      </c>
      <c r="E184" t="inlineStr">
        <is>
          <t>LYCKSELE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60440-2021</t>
        </is>
      </c>
      <c r="B185" s="1" t="n">
        <v>44496.42803240741</v>
      </c>
      <c r="C185" s="1" t="n">
        <v>45952</v>
      </c>
      <c r="D185" t="inlineStr">
        <is>
          <t>VÄSTERBOTTENS LÄN</t>
        </is>
      </c>
      <c r="E185" t="inlineStr">
        <is>
          <t>LYCKSELE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32998-2022</t>
        </is>
      </c>
      <c r="B186" s="1" t="n">
        <v>44784</v>
      </c>
      <c r="C186" s="1" t="n">
        <v>45952</v>
      </c>
      <c r="D186" t="inlineStr">
        <is>
          <t>VÄSTERBOTTENS LÄN</t>
        </is>
      </c>
      <c r="E186" t="inlineStr">
        <is>
          <t>LYCKSELE</t>
        </is>
      </c>
      <c r="F186" t="inlineStr">
        <is>
          <t>SCA</t>
        </is>
      </c>
      <c r="G186" t="n">
        <v>10.4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10302-2022</t>
        </is>
      </c>
      <c r="B187" s="1" t="n">
        <v>44622.92310185185</v>
      </c>
      <c r="C187" s="1" t="n">
        <v>45952</v>
      </c>
      <c r="D187" t="inlineStr">
        <is>
          <t>VÄSTERBOTTENS LÄN</t>
        </is>
      </c>
      <c r="E187" t="inlineStr">
        <is>
          <t>LYCKSELE</t>
        </is>
      </c>
      <c r="G187" t="n">
        <v>13.8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33161-2021</t>
        </is>
      </c>
      <c r="B188" s="1" t="n">
        <v>44376.69396990741</v>
      </c>
      <c r="C188" s="1" t="n">
        <v>45952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Holmen skog AB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38544-2021</t>
        </is>
      </c>
      <c r="B189" s="1" t="n">
        <v>44407</v>
      </c>
      <c r="C189" s="1" t="n">
        <v>45952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38712-2021</t>
        </is>
      </c>
      <c r="B190" s="1" t="n">
        <v>44405</v>
      </c>
      <c r="C190" s="1" t="n">
        <v>45952</v>
      </c>
      <c r="D190" t="inlineStr">
        <is>
          <t>VÄSTERBOTTENS LÄN</t>
        </is>
      </c>
      <c r="E190" t="inlineStr">
        <is>
          <t>LYCKSELE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28989-2022</t>
        </is>
      </c>
      <c r="B191" s="1" t="n">
        <v>44749.66362268518</v>
      </c>
      <c r="C191" s="1" t="n">
        <v>45952</v>
      </c>
      <c r="D191" t="inlineStr">
        <is>
          <t>VÄSTERBOTTENS LÄN</t>
        </is>
      </c>
      <c r="E191" t="inlineStr">
        <is>
          <t>LYCKSELE</t>
        </is>
      </c>
      <c r="G191" t="n">
        <v>3.4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61511-2021</t>
        </is>
      </c>
      <c r="B192" s="1" t="n">
        <v>44501.35502314815</v>
      </c>
      <c r="C192" s="1" t="n">
        <v>45952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59445-2021</t>
        </is>
      </c>
      <c r="B193" s="1" t="n">
        <v>44490</v>
      </c>
      <c r="C193" s="1" t="n">
        <v>45952</v>
      </c>
      <c r="D193" t="inlineStr">
        <is>
          <t>VÄSTERBOTTENS LÄN</t>
        </is>
      </c>
      <c r="E193" t="inlineStr">
        <is>
          <t>LYCKSELE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44097-2022</t>
        </is>
      </c>
      <c r="B194" s="1" t="n">
        <v>44839</v>
      </c>
      <c r="C194" s="1" t="n">
        <v>45952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Holmen skog AB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31913-2022</t>
        </is>
      </c>
      <c r="B195" s="1" t="n">
        <v>44777</v>
      </c>
      <c r="C195" s="1" t="n">
        <v>45952</v>
      </c>
      <c r="D195" t="inlineStr">
        <is>
          <t>VÄSTERBOTTENS LÄN</t>
        </is>
      </c>
      <c r="E195" t="inlineStr">
        <is>
          <t>LYCKSELE</t>
        </is>
      </c>
      <c r="G195" t="n">
        <v>9.300000000000001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54288-2022</t>
        </is>
      </c>
      <c r="B196" s="1" t="n">
        <v>44882.3720949074</v>
      </c>
      <c r="C196" s="1" t="n">
        <v>45952</v>
      </c>
      <c r="D196" t="inlineStr">
        <is>
          <t>VÄSTERBOTTENS LÄN</t>
        </is>
      </c>
      <c r="E196" t="inlineStr">
        <is>
          <t>LYCKSELE</t>
        </is>
      </c>
      <c r="F196" t="inlineStr">
        <is>
          <t>Holmen skog AB</t>
        </is>
      </c>
      <c r="G196" t="n">
        <v>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30474-2022</t>
        </is>
      </c>
      <c r="B197" s="1" t="n">
        <v>44761</v>
      </c>
      <c r="C197" s="1" t="n">
        <v>45952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SCA</t>
        </is>
      </c>
      <c r="G197" t="n">
        <v>14.9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36819-2022</t>
        </is>
      </c>
      <c r="B198" s="1" t="n">
        <v>44805</v>
      </c>
      <c r="C198" s="1" t="n">
        <v>45952</v>
      </c>
      <c r="D198" t="inlineStr">
        <is>
          <t>VÄSTERBOTTENS LÄN</t>
        </is>
      </c>
      <c r="E198" t="inlineStr">
        <is>
          <t>LYCKSELE</t>
        </is>
      </c>
      <c r="F198" t="inlineStr">
        <is>
          <t>Holmen skog AB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325-2022</t>
        </is>
      </c>
      <c r="B199" s="1" t="n">
        <v>44564</v>
      </c>
      <c r="C199" s="1" t="n">
        <v>45952</v>
      </c>
      <c r="D199" t="inlineStr">
        <is>
          <t>VÄSTERBOTTENS LÄN</t>
        </is>
      </c>
      <c r="E199" t="inlineStr">
        <is>
          <t>LYCKSELE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45270-2021</t>
        </is>
      </c>
      <c r="B200" s="1" t="n">
        <v>44439</v>
      </c>
      <c r="C200" s="1" t="n">
        <v>45952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35938-2021</t>
        </is>
      </c>
      <c r="B201" s="1" t="n">
        <v>44388.58075231482</v>
      </c>
      <c r="C201" s="1" t="n">
        <v>45952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Sveaskog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27548-2022</t>
        </is>
      </c>
      <c r="B202" s="1" t="n">
        <v>44742</v>
      </c>
      <c r="C202" s="1" t="n">
        <v>45952</v>
      </c>
      <c r="D202" t="inlineStr">
        <is>
          <t>VÄSTERBOTTENS LÄN</t>
        </is>
      </c>
      <c r="E202" t="inlineStr">
        <is>
          <t>LYCKSELE</t>
        </is>
      </c>
      <c r="F202" t="inlineStr">
        <is>
          <t>Holmen skog AB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22075-2022</t>
        </is>
      </c>
      <c r="B203" s="1" t="n">
        <v>44711</v>
      </c>
      <c r="C203" s="1" t="n">
        <v>45952</v>
      </c>
      <c r="D203" t="inlineStr">
        <is>
          <t>VÄSTERBOTTENS LÄN</t>
        </is>
      </c>
      <c r="E203" t="inlineStr">
        <is>
          <t>LYCKSELE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26673-2021</t>
        </is>
      </c>
      <c r="B204" s="1" t="n">
        <v>44348.93670138889</v>
      </c>
      <c r="C204" s="1" t="n">
        <v>45952</v>
      </c>
      <c r="D204" t="inlineStr">
        <is>
          <t>VÄSTERBOTTENS LÄN</t>
        </is>
      </c>
      <c r="E204" t="inlineStr">
        <is>
          <t>LYCKSELE</t>
        </is>
      </c>
      <c r="F204" t="inlineStr">
        <is>
          <t>SCA</t>
        </is>
      </c>
      <c r="G204" t="n">
        <v>10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36869-2022</t>
        </is>
      </c>
      <c r="B205" s="1" t="n">
        <v>44805</v>
      </c>
      <c r="C205" s="1" t="n">
        <v>45952</v>
      </c>
      <c r="D205" t="inlineStr">
        <is>
          <t>VÄSTERBOTTENS LÄN</t>
        </is>
      </c>
      <c r="E205" t="inlineStr">
        <is>
          <t>LYCKSELE</t>
        </is>
      </c>
      <c r="F205" t="inlineStr">
        <is>
          <t>Holmen skog AB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61900-2021</t>
        </is>
      </c>
      <c r="B206" s="1" t="n">
        <v>44502.33094907407</v>
      </c>
      <c r="C206" s="1" t="n">
        <v>45952</v>
      </c>
      <c r="D206" t="inlineStr">
        <is>
          <t>VÄSTERBOTTENS LÄN</t>
        </is>
      </c>
      <c r="E206" t="inlineStr">
        <is>
          <t>LYCKSELE</t>
        </is>
      </c>
      <c r="F206" t="inlineStr">
        <is>
          <t>Sveaskog</t>
        </is>
      </c>
      <c r="G206" t="n">
        <v>11.5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61907-2021</t>
        </is>
      </c>
      <c r="B207" s="1" t="n">
        <v>44502.34732638889</v>
      </c>
      <c r="C207" s="1" t="n">
        <v>45952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Sveaskog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61573-2021</t>
        </is>
      </c>
      <c r="B208" s="1" t="n">
        <v>44501.4425462963</v>
      </c>
      <c r="C208" s="1" t="n">
        <v>45952</v>
      </c>
      <c r="D208" t="inlineStr">
        <is>
          <t>VÄSTERBOTTENS LÄN</t>
        </is>
      </c>
      <c r="E208" t="inlineStr">
        <is>
          <t>LYCKSELE</t>
        </is>
      </c>
      <c r="F208" t="inlineStr">
        <is>
          <t>Sveaskog</t>
        </is>
      </c>
      <c r="G208" t="n">
        <v>7.5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65487-2021</t>
        </is>
      </c>
      <c r="B209" s="1" t="n">
        <v>44515</v>
      </c>
      <c r="C209" s="1" t="n">
        <v>45952</v>
      </c>
      <c r="D209" t="inlineStr">
        <is>
          <t>VÄSTERBOTTENS LÄN</t>
        </is>
      </c>
      <c r="E209" t="inlineStr">
        <is>
          <t>LYCKSELE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61651-2021</t>
        </is>
      </c>
      <c r="B210" s="1" t="n">
        <v>44501.53170138889</v>
      </c>
      <c r="C210" s="1" t="n">
        <v>45952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Sveaskog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441-2021</t>
        </is>
      </c>
      <c r="B211" s="1" t="n">
        <v>44201</v>
      </c>
      <c r="C211" s="1" t="n">
        <v>45952</v>
      </c>
      <c r="D211" t="inlineStr">
        <is>
          <t>VÄSTERBOTTENS LÄN</t>
        </is>
      </c>
      <c r="E211" t="inlineStr">
        <is>
          <t>LYCKSELE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54794-2021</t>
        </is>
      </c>
      <c r="B212" s="1" t="n">
        <v>44473.94274305556</v>
      </c>
      <c r="C212" s="1" t="n">
        <v>45952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68510-2020</t>
        </is>
      </c>
      <c r="B213" s="1" t="n">
        <v>44183</v>
      </c>
      <c r="C213" s="1" t="n">
        <v>45952</v>
      </c>
      <c r="D213" t="inlineStr">
        <is>
          <t>VÄSTERBOTTENS LÄN</t>
        </is>
      </c>
      <c r="E213" t="inlineStr">
        <is>
          <t>LYCKSELE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32668-2022</t>
        </is>
      </c>
      <c r="B214" s="1" t="n">
        <v>44783.53452546296</v>
      </c>
      <c r="C214" s="1" t="n">
        <v>45952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50279-2021</t>
        </is>
      </c>
      <c r="B215" s="1" t="n">
        <v>44459</v>
      </c>
      <c r="C215" s="1" t="n">
        <v>45952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Sveaskog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56898-2021</t>
        </is>
      </c>
      <c r="B216" s="1" t="n">
        <v>44481</v>
      </c>
      <c r="C216" s="1" t="n">
        <v>45952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Naturvårdsverket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73596-2021</t>
        </is>
      </c>
      <c r="B217" s="1" t="n">
        <v>44551</v>
      </c>
      <c r="C217" s="1" t="n">
        <v>45952</v>
      </c>
      <c r="D217" t="inlineStr">
        <is>
          <t>VÄSTERBOTTENS LÄN</t>
        </is>
      </c>
      <c r="E217" t="inlineStr">
        <is>
          <t>LYCKSELE</t>
        </is>
      </c>
      <c r="G217" t="n">
        <v>20.6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50779-2022</t>
        </is>
      </c>
      <c r="B218" s="1" t="n">
        <v>44867.43387731481</v>
      </c>
      <c r="C218" s="1" t="n">
        <v>45952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30298-2022</t>
        </is>
      </c>
      <c r="B219" s="1" t="n">
        <v>44760</v>
      </c>
      <c r="C219" s="1" t="n">
        <v>45952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Sveaskog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25308-2022</t>
        </is>
      </c>
      <c r="B220" s="1" t="n">
        <v>44731.46202546296</v>
      </c>
      <c r="C220" s="1" t="n">
        <v>45952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Holmen skog AB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37423-2022</t>
        </is>
      </c>
      <c r="B221" s="1" t="n">
        <v>44809</v>
      </c>
      <c r="C221" s="1" t="n">
        <v>45952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SCA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53027-2022</t>
        </is>
      </c>
      <c r="B222" s="1" t="n">
        <v>44875</v>
      </c>
      <c r="C222" s="1" t="n">
        <v>45952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SCA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42818-2021</t>
        </is>
      </c>
      <c r="B223" s="1" t="n">
        <v>44429</v>
      </c>
      <c r="C223" s="1" t="n">
        <v>45952</v>
      </c>
      <c r="D223" t="inlineStr">
        <is>
          <t>VÄSTERBOTTENS LÄN</t>
        </is>
      </c>
      <c r="E223" t="inlineStr">
        <is>
          <t>LYCKSELE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47067-2021</t>
        </is>
      </c>
      <c r="B224" s="1" t="n">
        <v>44446.6496412037</v>
      </c>
      <c r="C224" s="1" t="n">
        <v>45952</v>
      </c>
      <c r="D224" t="inlineStr">
        <is>
          <t>VÄSTERBOTTENS LÄN</t>
        </is>
      </c>
      <c r="E224" t="inlineStr">
        <is>
          <t>LYCKSELE</t>
        </is>
      </c>
      <c r="G224" t="n">
        <v>5.5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45266-2021</t>
        </is>
      </c>
      <c r="B225" s="1" t="n">
        <v>44439</v>
      </c>
      <c r="C225" s="1" t="n">
        <v>45952</v>
      </c>
      <c r="D225" t="inlineStr">
        <is>
          <t>VÄSTERBOTTENS LÄN</t>
        </is>
      </c>
      <c r="E225" t="inlineStr">
        <is>
          <t>LYCKSELE</t>
        </is>
      </c>
      <c r="F225" t="inlineStr">
        <is>
          <t>Sveaskog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43579-2021</t>
        </is>
      </c>
      <c r="B226" s="1" t="n">
        <v>44433</v>
      </c>
      <c r="C226" s="1" t="n">
        <v>45952</v>
      </c>
      <c r="D226" t="inlineStr">
        <is>
          <t>VÄSTERBOTTENS LÄN</t>
        </is>
      </c>
      <c r="E226" t="inlineStr">
        <is>
          <t>LYCKSELE</t>
        </is>
      </c>
      <c r="G226" t="n">
        <v>7.7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53974-2021</t>
        </is>
      </c>
      <c r="B227" s="1" t="n">
        <v>44469</v>
      </c>
      <c r="C227" s="1" t="n">
        <v>45952</v>
      </c>
      <c r="D227" t="inlineStr">
        <is>
          <t>VÄSTERBOTTENS LÄN</t>
        </is>
      </c>
      <c r="E227" t="inlineStr">
        <is>
          <t>LYCKSELE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69226-2021</t>
        </is>
      </c>
      <c r="B228" s="1" t="n">
        <v>44531</v>
      </c>
      <c r="C228" s="1" t="n">
        <v>45952</v>
      </c>
      <c r="D228" t="inlineStr">
        <is>
          <t>VÄSTERBOTTENS LÄN</t>
        </is>
      </c>
      <c r="E228" t="inlineStr">
        <is>
          <t>LYCKSELE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61554-2021</t>
        </is>
      </c>
      <c r="B229" s="1" t="n">
        <v>44501.41797453703</v>
      </c>
      <c r="C229" s="1" t="n">
        <v>45952</v>
      </c>
      <c r="D229" t="inlineStr">
        <is>
          <t>VÄSTERBOTTENS LÄN</t>
        </is>
      </c>
      <c r="E229" t="inlineStr">
        <is>
          <t>LYCKSELE</t>
        </is>
      </c>
      <c r="F229" t="inlineStr">
        <is>
          <t>Sveaskog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44632-2021</t>
        </is>
      </c>
      <c r="B230" s="1" t="n">
        <v>44437.3965625</v>
      </c>
      <c r="C230" s="1" t="n">
        <v>45952</v>
      </c>
      <c r="D230" t="inlineStr">
        <is>
          <t>VÄSTERBOTTENS LÄN</t>
        </is>
      </c>
      <c r="E230" t="inlineStr">
        <is>
          <t>LYCKSELE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35485-2022</t>
        </is>
      </c>
      <c r="B231" s="1" t="n">
        <v>44798.92728009259</v>
      </c>
      <c r="C231" s="1" t="n">
        <v>45952</v>
      </c>
      <c r="D231" t="inlineStr">
        <is>
          <t>VÄSTERBOTTENS LÄN</t>
        </is>
      </c>
      <c r="E231" t="inlineStr">
        <is>
          <t>LYCKSELE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63827-2021</t>
        </is>
      </c>
      <c r="B232" s="1" t="n">
        <v>44509</v>
      </c>
      <c r="C232" s="1" t="n">
        <v>45952</v>
      </c>
      <c r="D232" t="inlineStr">
        <is>
          <t>VÄSTERBOTTENS LÄN</t>
        </is>
      </c>
      <c r="E232" t="inlineStr">
        <is>
          <t>LYCKSELE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15112-2021</t>
        </is>
      </c>
      <c r="B233" s="1" t="n">
        <v>44282</v>
      </c>
      <c r="C233" s="1" t="n">
        <v>45952</v>
      </c>
      <c r="D233" t="inlineStr">
        <is>
          <t>VÄSTERBOTTENS LÄN</t>
        </is>
      </c>
      <c r="E233" t="inlineStr">
        <is>
          <t>LYCKSELE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15113-2021</t>
        </is>
      </c>
      <c r="B234" s="1" t="n">
        <v>44282.3640625</v>
      </c>
      <c r="C234" s="1" t="n">
        <v>45952</v>
      </c>
      <c r="D234" t="inlineStr">
        <is>
          <t>VÄSTERBOTTENS LÄN</t>
        </is>
      </c>
      <c r="E234" t="inlineStr">
        <is>
          <t>LYCKSELE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70817-2021</t>
        </is>
      </c>
      <c r="B235" s="1" t="n">
        <v>44537</v>
      </c>
      <c r="C235" s="1" t="n">
        <v>45952</v>
      </c>
      <c r="D235" t="inlineStr">
        <is>
          <t>VÄSTERBOTTENS LÄN</t>
        </is>
      </c>
      <c r="E235" t="inlineStr">
        <is>
          <t>LYCKSELE</t>
        </is>
      </c>
      <c r="F235" t="inlineStr">
        <is>
          <t>Naturvårdsverket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13955-2021</t>
        </is>
      </c>
      <c r="B236" s="1" t="n">
        <v>44277</v>
      </c>
      <c r="C236" s="1" t="n">
        <v>45952</v>
      </c>
      <c r="D236" t="inlineStr">
        <is>
          <t>VÄSTERBOTTENS LÄN</t>
        </is>
      </c>
      <c r="E236" t="inlineStr">
        <is>
          <t>LYCKSELE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16845-2022</t>
        </is>
      </c>
      <c r="B237" s="1" t="n">
        <v>44673</v>
      </c>
      <c r="C237" s="1" t="n">
        <v>45952</v>
      </c>
      <c r="D237" t="inlineStr">
        <is>
          <t>VÄSTERBOTTENS LÄN</t>
        </is>
      </c>
      <c r="E237" t="inlineStr">
        <is>
          <t>LYCKSELE</t>
        </is>
      </c>
      <c r="F237" t="inlineStr">
        <is>
          <t>SCA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229-2022</t>
        </is>
      </c>
      <c r="B238" s="1" t="n">
        <v>44564.92136574074</v>
      </c>
      <c r="C238" s="1" t="n">
        <v>45952</v>
      </c>
      <c r="D238" t="inlineStr">
        <is>
          <t>VÄSTERBOTTENS LÄN</t>
        </is>
      </c>
      <c r="E238" t="inlineStr">
        <is>
          <t>LYCKSELE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21058-2022</t>
        </is>
      </c>
      <c r="B239" s="1" t="n">
        <v>44704</v>
      </c>
      <c r="C239" s="1" t="n">
        <v>45952</v>
      </c>
      <c r="D239" t="inlineStr">
        <is>
          <t>VÄSTERBOTTENS LÄN</t>
        </is>
      </c>
      <c r="E239" t="inlineStr">
        <is>
          <t>LYCKSELE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16274-2022</t>
        </is>
      </c>
      <c r="B240" s="1" t="n">
        <v>44670</v>
      </c>
      <c r="C240" s="1" t="n">
        <v>45952</v>
      </c>
      <c r="D240" t="inlineStr">
        <is>
          <t>VÄSTERBOTTENS LÄN</t>
        </is>
      </c>
      <c r="E240" t="inlineStr">
        <is>
          <t>LYCKSELE</t>
        </is>
      </c>
      <c r="G240" t="n">
        <v>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72332-2021</t>
        </is>
      </c>
      <c r="B241" s="1" t="n">
        <v>44545</v>
      </c>
      <c r="C241" s="1" t="n">
        <v>45952</v>
      </c>
      <c r="D241" t="inlineStr">
        <is>
          <t>VÄSTERBOTTENS LÄN</t>
        </is>
      </c>
      <c r="E241" t="inlineStr">
        <is>
          <t>LYCKSELE</t>
        </is>
      </c>
      <c r="F241" t="inlineStr">
        <is>
          <t>Sveaskog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23973-2024</t>
        </is>
      </c>
      <c r="B242" s="1" t="n">
        <v>45455.9684837963</v>
      </c>
      <c r="C242" s="1" t="n">
        <v>45952</v>
      </c>
      <c r="D242" t="inlineStr">
        <is>
          <t>VÄSTERBOTTENS LÄN</t>
        </is>
      </c>
      <c r="E242" t="inlineStr">
        <is>
          <t>LYCKSELE</t>
        </is>
      </c>
      <c r="F242" t="inlineStr">
        <is>
          <t>SCA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24478-2022</t>
        </is>
      </c>
      <c r="B243" s="1" t="n">
        <v>44726</v>
      </c>
      <c r="C243" s="1" t="n">
        <v>45952</v>
      </c>
      <c r="D243" t="inlineStr">
        <is>
          <t>VÄSTERBOTTENS LÄN</t>
        </is>
      </c>
      <c r="E243" t="inlineStr">
        <is>
          <t>LYCKSELE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49816-2021</t>
        </is>
      </c>
      <c r="B244" s="1" t="n">
        <v>44454</v>
      </c>
      <c r="C244" s="1" t="n">
        <v>45952</v>
      </c>
      <c r="D244" t="inlineStr">
        <is>
          <t>VÄSTERBOTTENS LÄN</t>
        </is>
      </c>
      <c r="E244" t="inlineStr">
        <is>
          <t>LYCKSELE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68405-2020</t>
        </is>
      </c>
      <c r="B245" s="1" t="n">
        <v>44182</v>
      </c>
      <c r="C245" s="1" t="n">
        <v>45952</v>
      </c>
      <c r="D245" t="inlineStr">
        <is>
          <t>VÄSTERBOTTENS LÄN</t>
        </is>
      </c>
      <c r="E245" t="inlineStr">
        <is>
          <t>LYCKSELE</t>
        </is>
      </c>
      <c r="G245" t="n">
        <v>5.3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68409-2020</t>
        </is>
      </c>
      <c r="B246" s="1" t="n">
        <v>44182</v>
      </c>
      <c r="C246" s="1" t="n">
        <v>45952</v>
      </c>
      <c r="D246" t="inlineStr">
        <is>
          <t>VÄSTERBOTTENS LÄN</t>
        </is>
      </c>
      <c r="E246" t="inlineStr">
        <is>
          <t>LYCKSELE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24257-2024</t>
        </is>
      </c>
      <c r="B247" s="1" t="n">
        <v>45457</v>
      </c>
      <c r="C247" s="1" t="n">
        <v>45952</v>
      </c>
      <c r="D247" t="inlineStr">
        <is>
          <t>VÄSTERBOTTENS LÄN</t>
        </is>
      </c>
      <c r="E247" t="inlineStr">
        <is>
          <t>LYCKSELE</t>
        </is>
      </c>
      <c r="F247" t="inlineStr">
        <is>
          <t>Sveaskog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53740-2022</t>
        </is>
      </c>
      <c r="B248" s="1" t="n">
        <v>44880</v>
      </c>
      <c r="C248" s="1" t="n">
        <v>45952</v>
      </c>
      <c r="D248" t="inlineStr">
        <is>
          <t>VÄSTERBOTTENS LÄN</t>
        </is>
      </c>
      <c r="E248" t="inlineStr">
        <is>
          <t>LYCKSELE</t>
        </is>
      </c>
      <c r="G248" t="n">
        <v>10.5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28620-2021</t>
        </is>
      </c>
      <c r="B249" s="1" t="n">
        <v>44356.93547453704</v>
      </c>
      <c r="C249" s="1" t="n">
        <v>45952</v>
      </c>
      <c r="D249" t="inlineStr">
        <is>
          <t>VÄSTERBOTTENS LÄN</t>
        </is>
      </c>
      <c r="E249" t="inlineStr">
        <is>
          <t>LYCKSELE</t>
        </is>
      </c>
      <c r="F249" t="inlineStr">
        <is>
          <t>SCA</t>
        </is>
      </c>
      <c r="G249" t="n">
        <v>14.5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58440-2022</t>
        </is>
      </c>
      <c r="B250" s="1" t="n">
        <v>44901</v>
      </c>
      <c r="C250" s="1" t="n">
        <v>45952</v>
      </c>
      <c r="D250" t="inlineStr">
        <is>
          <t>VÄSTERBOTTENS LÄN</t>
        </is>
      </c>
      <c r="E250" t="inlineStr">
        <is>
          <t>LYCKSELE</t>
        </is>
      </c>
      <c r="F250" t="inlineStr">
        <is>
          <t>SCA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60437-2021</t>
        </is>
      </c>
      <c r="B251" s="1" t="n">
        <v>44496</v>
      </c>
      <c r="C251" s="1" t="n">
        <v>45952</v>
      </c>
      <c r="D251" t="inlineStr">
        <is>
          <t>VÄSTERBOTTENS LÄN</t>
        </is>
      </c>
      <c r="E251" t="inlineStr">
        <is>
          <t>LYCKSELE</t>
        </is>
      </c>
      <c r="F251" t="inlineStr">
        <is>
          <t>Sveaskog</t>
        </is>
      </c>
      <c r="G251" t="n">
        <v>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46474-2022</t>
        </is>
      </c>
      <c r="B252" s="1" t="n">
        <v>44846</v>
      </c>
      <c r="C252" s="1" t="n">
        <v>45952</v>
      </c>
      <c r="D252" t="inlineStr">
        <is>
          <t>VÄSTERBOTTENS LÄN</t>
        </is>
      </c>
      <c r="E252" t="inlineStr">
        <is>
          <t>LYCKSELE</t>
        </is>
      </c>
      <c r="G252" t="n">
        <v>7.2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45559-2022</t>
        </is>
      </c>
      <c r="B253" s="1" t="n">
        <v>44845.48649305556</v>
      </c>
      <c r="C253" s="1" t="n">
        <v>45952</v>
      </c>
      <c r="D253" t="inlineStr">
        <is>
          <t>VÄSTERBOTTENS LÄN</t>
        </is>
      </c>
      <c r="E253" t="inlineStr">
        <is>
          <t>LYCKSELE</t>
        </is>
      </c>
      <c r="G253" t="n">
        <v>17.8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45964-2022</t>
        </is>
      </c>
      <c r="B254" s="1" t="n">
        <v>44846</v>
      </c>
      <c r="C254" s="1" t="n">
        <v>45952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Holmen skog AB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24361-2024</t>
        </is>
      </c>
      <c r="B255" s="1" t="n">
        <v>45457.60049768518</v>
      </c>
      <c r="C255" s="1" t="n">
        <v>45952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7.3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17460-2024</t>
        </is>
      </c>
      <c r="B256" s="1" t="n">
        <v>45415</v>
      </c>
      <c r="C256" s="1" t="n">
        <v>45952</v>
      </c>
      <c r="D256" t="inlineStr">
        <is>
          <t>VÄSTERBOTTENS LÄN</t>
        </is>
      </c>
      <c r="E256" t="inlineStr">
        <is>
          <t>LYCKSELE</t>
        </is>
      </c>
      <c r="G256" t="n">
        <v>3.6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65231-2021</t>
        </is>
      </c>
      <c r="B257" s="1" t="n">
        <v>44513</v>
      </c>
      <c r="C257" s="1" t="n">
        <v>45952</v>
      </c>
      <c r="D257" t="inlineStr">
        <is>
          <t>VÄSTERBOTTENS LÄN</t>
        </is>
      </c>
      <c r="E257" t="inlineStr">
        <is>
          <t>LYCKSELE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69627-2021</t>
        </is>
      </c>
      <c r="B258" s="1" t="n">
        <v>44532.41537037037</v>
      </c>
      <c r="C258" s="1" t="n">
        <v>45952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Sveaskog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57666-2021</t>
        </is>
      </c>
      <c r="B259" s="1" t="n">
        <v>44484</v>
      </c>
      <c r="C259" s="1" t="n">
        <v>45952</v>
      </c>
      <c r="D259" t="inlineStr">
        <is>
          <t>VÄSTERBOTTENS LÄN</t>
        </is>
      </c>
      <c r="E259" t="inlineStr">
        <is>
          <t>LYCKSELE</t>
        </is>
      </c>
      <c r="F259" t="inlineStr">
        <is>
          <t>Sveaskog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74179-2021</t>
        </is>
      </c>
      <c r="B260" s="1" t="n">
        <v>44558</v>
      </c>
      <c r="C260" s="1" t="n">
        <v>45952</v>
      </c>
      <c r="D260" t="inlineStr">
        <is>
          <t>VÄSTERBOTTENS LÄN</t>
        </is>
      </c>
      <c r="E260" t="inlineStr">
        <is>
          <t>LYCKSELE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72377-2021</t>
        </is>
      </c>
      <c r="B261" s="1" t="n">
        <v>44544</v>
      </c>
      <c r="C261" s="1" t="n">
        <v>45952</v>
      </c>
      <c r="D261" t="inlineStr">
        <is>
          <t>VÄSTERBOTTENS LÄN</t>
        </is>
      </c>
      <c r="E261" t="inlineStr">
        <is>
          <t>LYCKSELE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61390-2022</t>
        </is>
      </c>
      <c r="B262" s="1" t="n">
        <v>44915</v>
      </c>
      <c r="C262" s="1" t="n">
        <v>45952</v>
      </c>
      <c r="D262" t="inlineStr">
        <is>
          <t>VÄSTERBOTTENS LÄN</t>
        </is>
      </c>
      <c r="E262" t="inlineStr">
        <is>
          <t>LYCKSELE</t>
        </is>
      </c>
      <c r="F262" t="inlineStr">
        <is>
          <t>SCA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41980-2024</t>
        </is>
      </c>
      <c r="B263" s="1" t="n">
        <v>45561.63130787037</v>
      </c>
      <c r="C263" s="1" t="n">
        <v>45952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Sveaskog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17688-2025</t>
        </is>
      </c>
      <c r="B264" s="1" t="n">
        <v>45758.39929398148</v>
      </c>
      <c r="C264" s="1" t="n">
        <v>45952</v>
      </c>
      <c r="D264" t="inlineStr">
        <is>
          <t>VÄSTERBOTTENS LÄN</t>
        </is>
      </c>
      <c r="E264" t="inlineStr">
        <is>
          <t>LYCKSELE</t>
        </is>
      </c>
      <c r="F264" t="inlineStr">
        <is>
          <t>Sveaskog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53116-2024</t>
        </is>
      </c>
      <c r="B265" s="1" t="n">
        <v>45611.58083333333</v>
      </c>
      <c r="C265" s="1" t="n">
        <v>45952</v>
      </c>
      <c r="D265" t="inlineStr">
        <is>
          <t>VÄSTERBOTTENS LÄN</t>
        </is>
      </c>
      <c r="E265" t="inlineStr">
        <is>
          <t>LYCKSELE</t>
        </is>
      </c>
      <c r="F265" t="inlineStr">
        <is>
          <t>Sveaskog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53235-2024</t>
        </is>
      </c>
      <c r="B266" s="1" t="n">
        <v>45613.77569444444</v>
      </c>
      <c r="C266" s="1" t="n">
        <v>45952</v>
      </c>
      <c r="D266" t="inlineStr">
        <is>
          <t>VÄSTERBOTTENS LÄN</t>
        </is>
      </c>
      <c r="E266" t="inlineStr">
        <is>
          <t>LYCKSELE</t>
        </is>
      </c>
      <c r="F266" t="inlineStr">
        <is>
          <t>Sveaskog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29150-2021</t>
        </is>
      </c>
      <c r="B267" s="1" t="n">
        <v>44358</v>
      </c>
      <c r="C267" s="1" t="n">
        <v>45952</v>
      </c>
      <c r="D267" t="inlineStr">
        <is>
          <t>VÄSTERBOTTENS LÄN</t>
        </is>
      </c>
      <c r="E267" t="inlineStr">
        <is>
          <t>LYCKSELE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64346-2023</t>
        </is>
      </c>
      <c r="B268" s="1" t="n">
        <v>45279</v>
      </c>
      <c r="C268" s="1" t="n">
        <v>45952</v>
      </c>
      <c r="D268" t="inlineStr">
        <is>
          <t>VÄSTERBOTTENS LÄN</t>
        </is>
      </c>
      <c r="E268" t="inlineStr">
        <is>
          <t>LYCKSELE</t>
        </is>
      </c>
      <c r="G268" t="n">
        <v>5.8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57848-2021</t>
        </is>
      </c>
      <c r="B269" s="1" t="n">
        <v>44484</v>
      </c>
      <c r="C269" s="1" t="n">
        <v>45952</v>
      </c>
      <c r="D269" t="inlineStr">
        <is>
          <t>VÄSTERBOTTENS LÄN</t>
        </is>
      </c>
      <c r="E269" t="inlineStr">
        <is>
          <t>LYCKSELE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28994-2022</t>
        </is>
      </c>
      <c r="B270" s="1" t="n">
        <v>44749</v>
      </c>
      <c r="C270" s="1" t="n">
        <v>45952</v>
      </c>
      <c r="D270" t="inlineStr">
        <is>
          <t>VÄSTERBOTTENS LÄN</t>
        </is>
      </c>
      <c r="E270" t="inlineStr">
        <is>
          <t>LYCKSELE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68253-2020</t>
        </is>
      </c>
      <c r="B271" s="1" t="n">
        <v>44182</v>
      </c>
      <c r="C271" s="1" t="n">
        <v>45952</v>
      </c>
      <c r="D271" t="inlineStr">
        <is>
          <t>VÄSTERBOTTENS LÄN</t>
        </is>
      </c>
      <c r="E271" t="inlineStr">
        <is>
          <t>LYCKSELE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13924-2021</t>
        </is>
      </c>
      <c r="B272" s="1" t="n">
        <v>44277</v>
      </c>
      <c r="C272" s="1" t="n">
        <v>45952</v>
      </c>
      <c r="D272" t="inlineStr">
        <is>
          <t>VÄSTERBOTTENS LÄN</t>
        </is>
      </c>
      <c r="E272" t="inlineStr">
        <is>
          <t>LYCKSELE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52144-2024</t>
        </is>
      </c>
      <c r="B273" s="1" t="n">
        <v>45608.51774305556</v>
      </c>
      <c r="C273" s="1" t="n">
        <v>45952</v>
      </c>
      <c r="D273" t="inlineStr">
        <is>
          <t>VÄSTERBOTTENS LÄN</t>
        </is>
      </c>
      <c r="E273" t="inlineStr">
        <is>
          <t>LYCKSELE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35021-2021</t>
        </is>
      </c>
      <c r="B274" s="1" t="n">
        <v>44383</v>
      </c>
      <c r="C274" s="1" t="n">
        <v>45952</v>
      </c>
      <c r="D274" t="inlineStr">
        <is>
          <t>VÄSTERBOTTENS LÄN</t>
        </is>
      </c>
      <c r="E274" t="inlineStr">
        <is>
          <t>LYCKSELE</t>
        </is>
      </c>
      <c r="F274" t="inlineStr">
        <is>
          <t>Holmen skog AB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41419-2022</t>
        </is>
      </c>
      <c r="B275" s="1" t="n">
        <v>44826</v>
      </c>
      <c r="C275" s="1" t="n">
        <v>45952</v>
      </c>
      <c r="D275" t="inlineStr">
        <is>
          <t>VÄSTERBOTTENS LÄN</t>
        </is>
      </c>
      <c r="E275" t="inlineStr">
        <is>
          <t>LYCKSELE</t>
        </is>
      </c>
      <c r="F275" t="inlineStr">
        <is>
          <t>Naturvårdsverket</t>
        </is>
      </c>
      <c r="G275" t="n">
        <v>32.1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6123-2025</t>
        </is>
      </c>
      <c r="B276" s="1" t="n">
        <v>45698.34989583334</v>
      </c>
      <c r="C276" s="1" t="n">
        <v>45952</v>
      </c>
      <c r="D276" t="inlineStr">
        <is>
          <t>VÄSTERBOTTENS LÄN</t>
        </is>
      </c>
      <c r="E276" t="inlineStr">
        <is>
          <t>LYCKSELE</t>
        </is>
      </c>
      <c r="G276" t="n">
        <v>10.5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13566-2023</t>
        </is>
      </c>
      <c r="B277" s="1" t="n">
        <v>45006.49</v>
      </c>
      <c r="C277" s="1" t="n">
        <v>45952</v>
      </c>
      <c r="D277" t="inlineStr">
        <is>
          <t>VÄSTERBOTTENS LÄN</t>
        </is>
      </c>
      <c r="E277" t="inlineStr">
        <is>
          <t>LYCKSELE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60425-2021</t>
        </is>
      </c>
      <c r="B278" s="1" t="n">
        <v>44496</v>
      </c>
      <c r="C278" s="1" t="n">
        <v>45952</v>
      </c>
      <c r="D278" t="inlineStr">
        <is>
          <t>VÄSTERBOTTENS LÄN</t>
        </is>
      </c>
      <c r="E278" t="inlineStr">
        <is>
          <t>LYCKSELE</t>
        </is>
      </c>
      <c r="F278" t="inlineStr">
        <is>
          <t>Sveaskog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42023-2024</t>
        </is>
      </c>
      <c r="B279" s="1" t="n">
        <v>45561</v>
      </c>
      <c r="C279" s="1" t="n">
        <v>45952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Sveaskog</t>
        </is>
      </c>
      <c r="G279" t="n">
        <v>7.2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54428-2024</t>
        </is>
      </c>
      <c r="B280" s="1" t="n">
        <v>45617.49065972222</v>
      </c>
      <c r="C280" s="1" t="n">
        <v>45952</v>
      </c>
      <c r="D280" t="inlineStr">
        <is>
          <t>VÄSTERBOTTENS LÄN</t>
        </is>
      </c>
      <c r="E280" t="inlineStr">
        <is>
          <t>LYCKSELE</t>
        </is>
      </c>
      <c r="F280" t="inlineStr">
        <is>
          <t>SCA</t>
        </is>
      </c>
      <c r="G280" t="n">
        <v>12.9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33706-2024</t>
        </is>
      </c>
      <c r="B281" s="1" t="n">
        <v>45520.52563657407</v>
      </c>
      <c r="C281" s="1" t="n">
        <v>45952</v>
      </c>
      <c r="D281" t="inlineStr">
        <is>
          <t>VÄSTERBOTTENS LÄN</t>
        </is>
      </c>
      <c r="E281" t="inlineStr">
        <is>
          <t>LYCKSELE</t>
        </is>
      </c>
      <c r="F281" t="inlineStr">
        <is>
          <t>Sveaskog</t>
        </is>
      </c>
      <c r="G281" t="n">
        <v>6.5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51152-2024</t>
        </is>
      </c>
      <c r="B282" s="1" t="n">
        <v>45603</v>
      </c>
      <c r="C282" s="1" t="n">
        <v>45952</v>
      </c>
      <c r="D282" t="inlineStr">
        <is>
          <t>VÄSTERBOTTENS LÄN</t>
        </is>
      </c>
      <c r="E282" t="inlineStr">
        <is>
          <t>LYCKSELE</t>
        </is>
      </c>
      <c r="F282" t="inlineStr">
        <is>
          <t>Sveaskog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11604-2023</t>
        </is>
      </c>
      <c r="B283" s="1" t="n">
        <v>44994</v>
      </c>
      <c r="C283" s="1" t="n">
        <v>45952</v>
      </c>
      <c r="D283" t="inlineStr">
        <is>
          <t>VÄSTERBOTTENS LÄN</t>
        </is>
      </c>
      <c r="E283" t="inlineStr">
        <is>
          <t>LYCKSELE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58534-2024</t>
        </is>
      </c>
      <c r="B284" s="1" t="n">
        <v>45635.44981481481</v>
      </c>
      <c r="C284" s="1" t="n">
        <v>45952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Holmen skog AB</t>
        </is>
      </c>
      <c r="G284" t="n">
        <v>4.1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43556-2022</t>
        </is>
      </c>
      <c r="B285" s="1" t="n">
        <v>44837</v>
      </c>
      <c r="C285" s="1" t="n">
        <v>45952</v>
      </c>
      <c r="D285" t="inlineStr">
        <is>
          <t>VÄSTERBOTTENS LÄN</t>
        </is>
      </c>
      <c r="E285" t="inlineStr">
        <is>
          <t>LYCKSELE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16887-2024</t>
        </is>
      </c>
      <c r="B286" s="1" t="n">
        <v>45411.60519675926</v>
      </c>
      <c r="C286" s="1" t="n">
        <v>45952</v>
      </c>
      <c r="D286" t="inlineStr">
        <is>
          <t>VÄSTERBOTTENS LÄN</t>
        </is>
      </c>
      <c r="E286" t="inlineStr">
        <is>
          <t>LYCKSELE</t>
        </is>
      </c>
      <c r="G286" t="n">
        <v>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30306-2024</t>
        </is>
      </c>
      <c r="B287" s="1" t="n">
        <v>45490.69914351852</v>
      </c>
      <c r="C287" s="1" t="n">
        <v>45952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Holmen skog AB</t>
        </is>
      </c>
      <c r="G287" t="n">
        <v>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12585-2025</t>
        </is>
      </c>
      <c r="B288" s="1" t="n">
        <v>45732</v>
      </c>
      <c r="C288" s="1" t="n">
        <v>45952</v>
      </c>
      <c r="D288" t="inlineStr">
        <is>
          <t>VÄSTERBOTTENS LÄN</t>
        </is>
      </c>
      <c r="E288" t="inlineStr">
        <is>
          <t>LYCKSELE</t>
        </is>
      </c>
      <c r="G288" t="n">
        <v>15.5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28409-2023</t>
        </is>
      </c>
      <c r="B289" s="1" t="n">
        <v>45101</v>
      </c>
      <c r="C289" s="1" t="n">
        <v>45952</v>
      </c>
      <c r="D289" t="inlineStr">
        <is>
          <t>VÄSTERBOTTENS LÄN</t>
        </is>
      </c>
      <c r="E289" t="inlineStr">
        <is>
          <t>LYCKSELE</t>
        </is>
      </c>
      <c r="G289" t="n">
        <v>12.9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14248-2025</t>
        </is>
      </c>
      <c r="B290" s="1" t="n">
        <v>45740</v>
      </c>
      <c r="C290" s="1" t="n">
        <v>45952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SCA</t>
        </is>
      </c>
      <c r="G290" t="n">
        <v>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20508-2025</t>
        </is>
      </c>
      <c r="B291" s="1" t="n">
        <v>45775</v>
      </c>
      <c r="C291" s="1" t="n">
        <v>45952</v>
      </c>
      <c r="D291" t="inlineStr">
        <is>
          <t>VÄSTERBOTTENS LÄN</t>
        </is>
      </c>
      <c r="E291" t="inlineStr">
        <is>
          <t>LYCKSELE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20026-2025</t>
        </is>
      </c>
      <c r="B292" s="1" t="n">
        <v>45772.34459490741</v>
      </c>
      <c r="C292" s="1" t="n">
        <v>45952</v>
      </c>
      <c r="D292" t="inlineStr">
        <is>
          <t>VÄSTERBOTTENS LÄN</t>
        </is>
      </c>
      <c r="E292" t="inlineStr">
        <is>
          <t>LYCKSELE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20034-2025</t>
        </is>
      </c>
      <c r="B293" s="1" t="n">
        <v>45772.36483796296</v>
      </c>
      <c r="C293" s="1" t="n">
        <v>45952</v>
      </c>
      <c r="D293" t="inlineStr">
        <is>
          <t>VÄSTERBOTTENS LÄN</t>
        </is>
      </c>
      <c r="E293" t="inlineStr">
        <is>
          <t>LYCKSELE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61630-2020</t>
        </is>
      </c>
      <c r="B294" s="1" t="n">
        <v>44158</v>
      </c>
      <c r="C294" s="1" t="n">
        <v>45952</v>
      </c>
      <c r="D294" t="inlineStr">
        <is>
          <t>VÄSTERBOTTENS LÄN</t>
        </is>
      </c>
      <c r="E294" t="inlineStr">
        <is>
          <t>LYCKSELE</t>
        </is>
      </c>
      <c r="F294" t="inlineStr">
        <is>
          <t>Sveaskog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56973-2022</t>
        </is>
      </c>
      <c r="B295" s="1" t="n">
        <v>44894</v>
      </c>
      <c r="C295" s="1" t="n">
        <v>45952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Holmen skog AB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16292-2025</t>
        </is>
      </c>
      <c r="B296" s="1" t="n">
        <v>45751.33399305555</v>
      </c>
      <c r="C296" s="1" t="n">
        <v>45952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Holmen skog AB</t>
        </is>
      </c>
      <c r="G296" t="n">
        <v>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40497-2022</t>
        </is>
      </c>
      <c r="B297" s="1" t="n">
        <v>44823</v>
      </c>
      <c r="C297" s="1" t="n">
        <v>45952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Naturvårdsverket</t>
        </is>
      </c>
      <c r="G297" t="n">
        <v>4.9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4858-2025</t>
        </is>
      </c>
      <c r="B298" s="1" t="n">
        <v>45688.67435185185</v>
      </c>
      <c r="C298" s="1" t="n">
        <v>45952</v>
      </c>
      <c r="D298" t="inlineStr">
        <is>
          <t>VÄSTERBOTTENS LÄN</t>
        </is>
      </c>
      <c r="E298" t="inlineStr">
        <is>
          <t>LYCKSELE</t>
        </is>
      </c>
      <c r="F298" t="inlineStr">
        <is>
          <t>SCA</t>
        </is>
      </c>
      <c r="G298" t="n">
        <v>4.9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9879-2022</t>
        </is>
      </c>
      <c r="B299" s="1" t="n">
        <v>44620</v>
      </c>
      <c r="C299" s="1" t="n">
        <v>45952</v>
      </c>
      <c r="D299" t="inlineStr">
        <is>
          <t>VÄSTERBOTTENS LÄN</t>
        </is>
      </c>
      <c r="E299" t="inlineStr">
        <is>
          <t>LYCKSELE</t>
        </is>
      </c>
      <c r="G299" t="n">
        <v>8.699999999999999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9892-2022</t>
        </is>
      </c>
      <c r="B300" s="1" t="n">
        <v>44620</v>
      </c>
      <c r="C300" s="1" t="n">
        <v>45952</v>
      </c>
      <c r="D300" t="inlineStr">
        <is>
          <t>VÄSTERBOTTENS LÄN</t>
        </is>
      </c>
      <c r="E300" t="inlineStr">
        <is>
          <t>LYCKSELE</t>
        </is>
      </c>
      <c r="G300" t="n">
        <v>14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54167-2022</t>
        </is>
      </c>
      <c r="B301" s="1" t="n">
        <v>44881</v>
      </c>
      <c r="C301" s="1" t="n">
        <v>45952</v>
      </c>
      <c r="D301" t="inlineStr">
        <is>
          <t>VÄSTERBOTTENS LÄN</t>
        </is>
      </c>
      <c r="E301" t="inlineStr">
        <is>
          <t>LYCKSELE</t>
        </is>
      </c>
      <c r="G301" t="n">
        <v>11.3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29449-2024</t>
        </is>
      </c>
      <c r="B302" s="1" t="n">
        <v>45483.93377314815</v>
      </c>
      <c r="C302" s="1" t="n">
        <v>45952</v>
      </c>
      <c r="D302" t="inlineStr">
        <is>
          <t>VÄSTERBOTTENS LÄN</t>
        </is>
      </c>
      <c r="E302" t="inlineStr">
        <is>
          <t>LYCKSELE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38960-2025</t>
        </is>
      </c>
      <c r="B303" s="1" t="n">
        <v>45887.67797453704</v>
      </c>
      <c r="C303" s="1" t="n">
        <v>45952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SCA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54619-2024</t>
        </is>
      </c>
      <c r="B304" s="1" t="n">
        <v>45617.73600694445</v>
      </c>
      <c r="C304" s="1" t="n">
        <v>45952</v>
      </c>
      <c r="D304" t="inlineStr">
        <is>
          <t>VÄSTERBOTTENS LÄN</t>
        </is>
      </c>
      <c r="E304" t="inlineStr">
        <is>
          <t>LYCKSELE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41497-2021</t>
        </is>
      </c>
      <c r="B305" s="1" t="n">
        <v>44424</v>
      </c>
      <c r="C305" s="1" t="n">
        <v>45952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SCA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34897-2024</t>
        </is>
      </c>
      <c r="B306" s="1" t="n">
        <v>45527.36991898148</v>
      </c>
      <c r="C306" s="1" t="n">
        <v>45952</v>
      </c>
      <c r="D306" t="inlineStr">
        <is>
          <t>VÄSTERBOTTENS LÄN</t>
        </is>
      </c>
      <c r="E306" t="inlineStr">
        <is>
          <t>LYCKSELE</t>
        </is>
      </c>
      <c r="F306" t="inlineStr">
        <is>
          <t>Holmen skog AB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33716-2024</t>
        </is>
      </c>
      <c r="B307" s="1" t="n">
        <v>45520.53516203703</v>
      </c>
      <c r="C307" s="1" t="n">
        <v>45952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Sveaskog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33717-2024</t>
        </is>
      </c>
      <c r="B308" s="1" t="n">
        <v>45520.53523148148</v>
      </c>
      <c r="C308" s="1" t="n">
        <v>45952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13.6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18339-2025</t>
        </is>
      </c>
      <c r="B309" s="1" t="n">
        <v>45762.51096064815</v>
      </c>
      <c r="C309" s="1" t="n">
        <v>45952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Naturvårdsverket</t>
        </is>
      </c>
      <c r="G309" t="n">
        <v>13.4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34043-2023</t>
        </is>
      </c>
      <c r="B310" s="1" t="n">
        <v>45135</v>
      </c>
      <c r="C310" s="1" t="n">
        <v>45952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Holmen skog AB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24234-2023</t>
        </is>
      </c>
      <c r="B311" s="1" t="n">
        <v>45079</v>
      </c>
      <c r="C311" s="1" t="n">
        <v>45952</v>
      </c>
      <c r="D311" t="inlineStr">
        <is>
          <t>VÄSTERBOTTENS LÄN</t>
        </is>
      </c>
      <c r="E311" t="inlineStr">
        <is>
          <t>LYCKSELE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45447-2024</t>
        </is>
      </c>
      <c r="B312" s="1" t="n">
        <v>45576.64849537037</v>
      </c>
      <c r="C312" s="1" t="n">
        <v>45952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Naturvårdsverket</t>
        </is>
      </c>
      <c r="G312" t="n">
        <v>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58975-2022</t>
        </is>
      </c>
      <c r="B313" s="1" t="n">
        <v>44903</v>
      </c>
      <c r="C313" s="1" t="n">
        <v>45952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Holmen skog AB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50044-2021</t>
        </is>
      </c>
      <c r="B314" s="1" t="n">
        <v>44456.50484953704</v>
      </c>
      <c r="C314" s="1" t="n">
        <v>45952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Holmen skog AB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41977-2024</t>
        </is>
      </c>
      <c r="B315" s="1" t="n">
        <v>45561.62664351852</v>
      </c>
      <c r="C315" s="1" t="n">
        <v>45952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Sveaskog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41982-2024</t>
        </is>
      </c>
      <c r="B316" s="1" t="n">
        <v>45561.63295138889</v>
      </c>
      <c r="C316" s="1" t="n">
        <v>45952</v>
      </c>
      <c r="D316" t="inlineStr">
        <is>
          <t>VÄSTERBOTTENS LÄN</t>
        </is>
      </c>
      <c r="E316" t="inlineStr">
        <is>
          <t>LYCKSELE</t>
        </is>
      </c>
      <c r="F316" t="inlineStr">
        <is>
          <t>Sveaskog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11090-2025</t>
        </is>
      </c>
      <c r="B317" s="1" t="n">
        <v>45723.57395833333</v>
      </c>
      <c r="C317" s="1" t="n">
        <v>45952</v>
      </c>
      <c r="D317" t="inlineStr">
        <is>
          <t>VÄSTERBOTTENS LÄN</t>
        </is>
      </c>
      <c r="E317" t="inlineStr">
        <is>
          <t>LYCKSELE</t>
        </is>
      </c>
      <c r="F317" t="inlineStr">
        <is>
          <t>SCA</t>
        </is>
      </c>
      <c r="G317" t="n">
        <v>11.5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2576-2022</t>
        </is>
      </c>
      <c r="B318" s="1" t="n">
        <v>44580</v>
      </c>
      <c r="C318" s="1" t="n">
        <v>45952</v>
      </c>
      <c r="D318" t="inlineStr">
        <is>
          <t>VÄSTERBOTTENS LÄN</t>
        </is>
      </c>
      <c r="E318" t="inlineStr">
        <is>
          <t>LYCKSELE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50468-2024</t>
        </is>
      </c>
      <c r="B319" s="1" t="n">
        <v>45601</v>
      </c>
      <c r="C319" s="1" t="n">
        <v>45952</v>
      </c>
      <c r="D319" t="inlineStr">
        <is>
          <t>VÄSTERBOTTENS LÄN</t>
        </is>
      </c>
      <c r="E319" t="inlineStr">
        <is>
          <t>LYCKSELE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34903-2023</t>
        </is>
      </c>
      <c r="B320" s="1" t="n">
        <v>45142</v>
      </c>
      <c r="C320" s="1" t="n">
        <v>45952</v>
      </c>
      <c r="D320" t="inlineStr">
        <is>
          <t>VÄSTERBOTTENS LÄN</t>
        </is>
      </c>
      <c r="E320" t="inlineStr">
        <is>
          <t>LYCKSELE</t>
        </is>
      </c>
      <c r="F320" t="inlineStr">
        <is>
          <t>Holmen skog AB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6700-2025</t>
        </is>
      </c>
      <c r="B321" s="1" t="n">
        <v>45700.54133101852</v>
      </c>
      <c r="C321" s="1" t="n">
        <v>45952</v>
      </c>
      <c r="D321" t="inlineStr">
        <is>
          <t>VÄSTERBOTTENS LÄN</t>
        </is>
      </c>
      <c r="E321" t="inlineStr">
        <is>
          <t>LYCKSELE</t>
        </is>
      </c>
      <c r="G321" t="n">
        <v>18.1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29835-2023</t>
        </is>
      </c>
      <c r="B322" s="1" t="n">
        <v>45107</v>
      </c>
      <c r="C322" s="1" t="n">
        <v>45952</v>
      </c>
      <c r="D322" t="inlineStr">
        <is>
          <t>VÄSTERBOTTENS LÄN</t>
        </is>
      </c>
      <c r="E322" t="inlineStr">
        <is>
          <t>LYCKSELE</t>
        </is>
      </c>
      <c r="G322" t="n">
        <v>17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29861-2023</t>
        </is>
      </c>
      <c r="B323" s="1" t="n">
        <v>45107</v>
      </c>
      <c r="C323" s="1" t="n">
        <v>45952</v>
      </c>
      <c r="D323" t="inlineStr">
        <is>
          <t>VÄSTERBOTTENS LÄN</t>
        </is>
      </c>
      <c r="E323" t="inlineStr">
        <is>
          <t>LYCKSELE</t>
        </is>
      </c>
      <c r="G323" t="n">
        <v>10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14623-2025</t>
        </is>
      </c>
      <c r="B324" s="1" t="n">
        <v>45742.41636574074</v>
      </c>
      <c r="C324" s="1" t="n">
        <v>45952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Naturvårdsverket</t>
        </is>
      </c>
      <c r="G324" t="n">
        <v>10.4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29937-2024</t>
        </is>
      </c>
      <c r="B325" s="1" t="n">
        <v>45488.41469907408</v>
      </c>
      <c r="C325" s="1" t="n">
        <v>45952</v>
      </c>
      <c r="D325" t="inlineStr">
        <is>
          <t>VÄSTERBOTTENS LÄN</t>
        </is>
      </c>
      <c r="E325" t="inlineStr">
        <is>
          <t>LYCKSELE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58714-2024</t>
        </is>
      </c>
      <c r="B326" s="1" t="n">
        <v>45635</v>
      </c>
      <c r="C326" s="1" t="n">
        <v>45952</v>
      </c>
      <c r="D326" t="inlineStr">
        <is>
          <t>VÄSTERBOTTENS LÄN</t>
        </is>
      </c>
      <c r="E326" t="inlineStr">
        <is>
          <t>LYCKSELE</t>
        </is>
      </c>
      <c r="G326" t="n">
        <v>25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60117-2022</t>
        </is>
      </c>
      <c r="B327" s="1" t="n">
        <v>44909</v>
      </c>
      <c r="C327" s="1" t="n">
        <v>45952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35266-2024</t>
        </is>
      </c>
      <c r="B328" s="1" t="n">
        <v>45530</v>
      </c>
      <c r="C328" s="1" t="n">
        <v>45952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Holmen skog AB</t>
        </is>
      </c>
      <c r="G328" t="n">
        <v>6.2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35273-2024</t>
        </is>
      </c>
      <c r="B329" s="1" t="n">
        <v>45530</v>
      </c>
      <c r="C329" s="1" t="n">
        <v>45952</v>
      </c>
      <c r="D329" t="inlineStr">
        <is>
          <t>VÄSTERBOTTENS LÄN</t>
        </is>
      </c>
      <c r="E329" t="inlineStr">
        <is>
          <t>LYCKSELE</t>
        </is>
      </c>
      <c r="G329" t="n">
        <v>17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48543-2024</t>
        </is>
      </c>
      <c r="B330" s="1" t="n">
        <v>45593</v>
      </c>
      <c r="C330" s="1" t="n">
        <v>45952</v>
      </c>
      <c r="D330" t="inlineStr">
        <is>
          <t>VÄSTERBOTTENS LÄN</t>
        </is>
      </c>
      <c r="E330" t="inlineStr">
        <is>
          <t>LYCKSELE</t>
        </is>
      </c>
      <c r="F330" t="inlineStr">
        <is>
          <t>Holmen skog AB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14343-2024</t>
        </is>
      </c>
      <c r="B331" s="1" t="n">
        <v>45393</v>
      </c>
      <c r="C331" s="1" t="n">
        <v>45952</v>
      </c>
      <c r="D331" t="inlineStr">
        <is>
          <t>VÄSTERBOTTENS LÄN</t>
        </is>
      </c>
      <c r="E331" t="inlineStr">
        <is>
          <t>LYCKSELE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3791-2025</t>
        </is>
      </c>
      <c r="B332" s="1" t="n">
        <v>45681</v>
      </c>
      <c r="C332" s="1" t="n">
        <v>45952</v>
      </c>
      <c r="D332" t="inlineStr">
        <is>
          <t>VÄSTERBOTTENS LÄN</t>
        </is>
      </c>
      <c r="E332" t="inlineStr">
        <is>
          <t>LYCKSELE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30470-2022</t>
        </is>
      </c>
      <c r="B333" s="1" t="n">
        <v>44761</v>
      </c>
      <c r="C333" s="1" t="n">
        <v>45952</v>
      </c>
      <c r="D333" t="inlineStr">
        <is>
          <t>VÄSTERBOTTENS LÄN</t>
        </is>
      </c>
      <c r="E333" t="inlineStr">
        <is>
          <t>LYCKSELE</t>
        </is>
      </c>
      <c r="G333" t="n">
        <v>11.9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58439-2022</t>
        </is>
      </c>
      <c r="B334" s="1" t="n">
        <v>44901</v>
      </c>
      <c r="C334" s="1" t="n">
        <v>45952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SCA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21961-2021</t>
        </is>
      </c>
      <c r="B335" s="1" t="n">
        <v>44323</v>
      </c>
      <c r="C335" s="1" t="n">
        <v>45952</v>
      </c>
      <c r="D335" t="inlineStr">
        <is>
          <t>VÄSTERBOTTENS LÄN</t>
        </is>
      </c>
      <c r="E335" t="inlineStr">
        <is>
          <t>LYCKSELE</t>
        </is>
      </c>
      <c r="G335" t="n">
        <v>11.1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60272-2022</t>
        </is>
      </c>
      <c r="B336" s="1" t="n">
        <v>44910.49471064815</v>
      </c>
      <c r="C336" s="1" t="n">
        <v>45952</v>
      </c>
      <c r="D336" t="inlineStr">
        <is>
          <t>VÄSTERBOTTENS LÄN</t>
        </is>
      </c>
      <c r="E336" t="inlineStr">
        <is>
          <t>LYCKSELE</t>
        </is>
      </c>
      <c r="F336" t="inlineStr">
        <is>
          <t>Sveaskog</t>
        </is>
      </c>
      <c r="G336" t="n">
        <v>7.4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37969-2024</t>
        </is>
      </c>
      <c r="B337" s="1" t="n">
        <v>45544.55925925926</v>
      </c>
      <c r="C337" s="1" t="n">
        <v>45952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Sveaskog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16192-2024</t>
        </is>
      </c>
      <c r="B338" s="1" t="n">
        <v>45406</v>
      </c>
      <c r="C338" s="1" t="n">
        <v>45952</v>
      </c>
      <c r="D338" t="inlineStr">
        <is>
          <t>VÄSTERBOTTENS LÄN</t>
        </is>
      </c>
      <c r="E338" t="inlineStr">
        <is>
          <t>LYCKSELE</t>
        </is>
      </c>
      <c r="G338" t="n">
        <v>3.3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1289-2022</t>
        </is>
      </c>
      <c r="B339" s="1" t="n">
        <v>44572.68023148148</v>
      </c>
      <c r="C339" s="1" t="n">
        <v>45952</v>
      </c>
      <c r="D339" t="inlineStr">
        <is>
          <t>VÄSTERBOTTENS LÄN</t>
        </is>
      </c>
      <c r="E339" t="inlineStr">
        <is>
          <t>LYCKSELE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32408-2024</t>
        </is>
      </c>
      <c r="B340" s="1" t="n">
        <v>45512.68542824074</v>
      </c>
      <c r="C340" s="1" t="n">
        <v>45952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Naturvårdsverket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15221-2025</t>
        </is>
      </c>
      <c r="B341" s="1" t="n">
        <v>45744.58421296296</v>
      </c>
      <c r="C341" s="1" t="n">
        <v>45952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12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15809-2023</t>
        </is>
      </c>
      <c r="B342" s="1" t="n">
        <v>45021</v>
      </c>
      <c r="C342" s="1" t="n">
        <v>45952</v>
      </c>
      <c r="D342" t="inlineStr">
        <is>
          <t>VÄSTERBOTTENS LÄN</t>
        </is>
      </c>
      <c r="E342" t="inlineStr">
        <is>
          <t>LYCKSELE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987-2025</t>
        </is>
      </c>
      <c r="B343" s="1" t="n">
        <v>45666</v>
      </c>
      <c r="C343" s="1" t="n">
        <v>45952</v>
      </c>
      <c r="D343" t="inlineStr">
        <is>
          <t>VÄSTERBOTTENS LÄN</t>
        </is>
      </c>
      <c r="E343" t="inlineStr">
        <is>
          <t>LYCKSELE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30725-2024</t>
        </is>
      </c>
      <c r="B344" s="1" t="n">
        <v>45496.53711805555</v>
      </c>
      <c r="C344" s="1" t="n">
        <v>45952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Holmen skog AB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43793-2025</t>
        </is>
      </c>
      <c r="B345" s="1" t="n">
        <v>45912</v>
      </c>
      <c r="C345" s="1" t="n">
        <v>45952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Holmen skog AB</t>
        </is>
      </c>
      <c r="G345" t="n">
        <v>6.1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45312-2024</t>
        </is>
      </c>
      <c r="B346" s="1" t="n">
        <v>45576.4328587963</v>
      </c>
      <c r="C346" s="1" t="n">
        <v>45952</v>
      </c>
      <c r="D346" t="inlineStr">
        <is>
          <t>VÄSTERBOTTENS LÄN</t>
        </is>
      </c>
      <c r="E346" t="inlineStr">
        <is>
          <t>LYCKSELE</t>
        </is>
      </c>
      <c r="F346" t="inlineStr">
        <is>
          <t>Sveaskog</t>
        </is>
      </c>
      <c r="G346" t="n">
        <v>10.8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2552-2024</t>
        </is>
      </c>
      <c r="B347" s="1" t="n">
        <v>45313</v>
      </c>
      <c r="C347" s="1" t="n">
        <v>45952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Naturvårdsverket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27553-2024</t>
        </is>
      </c>
      <c r="B348" s="1" t="n">
        <v>45474.61927083333</v>
      </c>
      <c r="C348" s="1" t="n">
        <v>45952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Sveaskog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3632-2024</t>
        </is>
      </c>
      <c r="B349" s="1" t="n">
        <v>45320</v>
      </c>
      <c r="C349" s="1" t="n">
        <v>45952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SCA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39321-2024</t>
        </is>
      </c>
      <c r="B350" s="1" t="n">
        <v>45551.41628472223</v>
      </c>
      <c r="C350" s="1" t="n">
        <v>45952</v>
      </c>
      <c r="D350" t="inlineStr">
        <is>
          <t>VÄSTERBOTTENS LÄN</t>
        </is>
      </c>
      <c r="E350" t="inlineStr">
        <is>
          <t>LYCKSELE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47131-2024</t>
        </is>
      </c>
      <c r="B351" s="1" t="n">
        <v>45586.57693287037</v>
      </c>
      <c r="C351" s="1" t="n">
        <v>45952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16504-2025</t>
        </is>
      </c>
      <c r="B352" s="1" t="n">
        <v>45751</v>
      </c>
      <c r="C352" s="1" t="n">
        <v>45952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Holmen skog AB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45330-2024</t>
        </is>
      </c>
      <c r="B353" s="1" t="n">
        <v>45576.45649305556</v>
      </c>
      <c r="C353" s="1" t="n">
        <v>45952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Sveaskog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70197-2021</t>
        </is>
      </c>
      <c r="B354" s="1" t="n">
        <v>44534.51119212963</v>
      </c>
      <c r="C354" s="1" t="n">
        <v>45952</v>
      </c>
      <c r="D354" t="inlineStr">
        <is>
          <t>VÄSTERBOTTENS LÄN</t>
        </is>
      </c>
      <c r="E354" t="inlineStr">
        <is>
          <t>LYCKSELE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53369-2022</t>
        </is>
      </c>
      <c r="B355" s="1" t="n">
        <v>44874</v>
      </c>
      <c r="C355" s="1" t="n">
        <v>45952</v>
      </c>
      <c r="D355" t="inlineStr">
        <is>
          <t>VÄSTERBOTTENS LÄN</t>
        </is>
      </c>
      <c r="E355" t="inlineStr">
        <is>
          <t>LYCKSELE</t>
        </is>
      </c>
      <c r="G355" t="n">
        <v>9.1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59569-2024</t>
        </is>
      </c>
      <c r="B356" s="1" t="n">
        <v>45638.64100694445</v>
      </c>
      <c r="C356" s="1" t="n">
        <v>45952</v>
      </c>
      <c r="D356" t="inlineStr">
        <is>
          <t>VÄSTERBOTTENS LÄN</t>
        </is>
      </c>
      <c r="E356" t="inlineStr">
        <is>
          <t>LYCKSELE</t>
        </is>
      </c>
      <c r="F356" t="inlineStr">
        <is>
          <t>Holmen skog AB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59330-2022</t>
        </is>
      </c>
      <c r="B357" s="1" t="n">
        <v>44904.64789351852</v>
      </c>
      <c r="C357" s="1" t="n">
        <v>45952</v>
      </c>
      <c r="D357" t="inlineStr">
        <is>
          <t>VÄSTERBOTTENS LÄN</t>
        </is>
      </c>
      <c r="E357" t="inlineStr">
        <is>
          <t>LYCKSELE</t>
        </is>
      </c>
      <c r="F357" t="inlineStr">
        <is>
          <t>Sveaskog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56401-2021</t>
        </is>
      </c>
      <c r="B358" s="1" t="n">
        <v>44477</v>
      </c>
      <c r="C358" s="1" t="n">
        <v>45952</v>
      </c>
      <c r="D358" t="inlineStr">
        <is>
          <t>VÄSTERBOTTENS LÄN</t>
        </is>
      </c>
      <c r="E358" t="inlineStr">
        <is>
          <t>LYCKSELE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35227-2023</t>
        </is>
      </c>
      <c r="B359" s="1" t="n">
        <v>45145.64986111111</v>
      </c>
      <c r="C359" s="1" t="n">
        <v>45952</v>
      </c>
      <c r="D359" t="inlineStr">
        <is>
          <t>VÄSTERBOTTENS LÄN</t>
        </is>
      </c>
      <c r="E359" t="inlineStr">
        <is>
          <t>LYCKSELE</t>
        </is>
      </c>
      <c r="F359" t="inlineStr">
        <is>
          <t>Sveaskog</t>
        </is>
      </c>
      <c r="G359" t="n">
        <v>4.6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48330-2024</t>
        </is>
      </c>
      <c r="B360" s="1" t="n">
        <v>45590.52324074074</v>
      </c>
      <c r="C360" s="1" t="n">
        <v>45952</v>
      </c>
      <c r="D360" t="inlineStr">
        <is>
          <t>VÄSTERBOTTENS LÄN</t>
        </is>
      </c>
      <c r="E360" t="inlineStr">
        <is>
          <t>LYCKSELE</t>
        </is>
      </c>
      <c r="F360" t="inlineStr">
        <is>
          <t>Sveaskog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50652-2021</t>
        </is>
      </c>
      <c r="B361" s="1" t="n">
        <v>44459.92047453704</v>
      </c>
      <c r="C361" s="1" t="n">
        <v>45952</v>
      </c>
      <c r="D361" t="inlineStr">
        <is>
          <t>VÄSTERBOTTENS LÄN</t>
        </is>
      </c>
      <c r="E361" t="inlineStr">
        <is>
          <t>LYCKSELE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9670-2025</t>
        </is>
      </c>
      <c r="B362" s="1" t="n">
        <v>45716</v>
      </c>
      <c r="C362" s="1" t="n">
        <v>45952</v>
      </c>
      <c r="D362" t="inlineStr">
        <is>
          <t>VÄSTERBOTTENS LÄN</t>
        </is>
      </c>
      <c r="E362" t="inlineStr">
        <is>
          <t>LYCKSELE</t>
        </is>
      </c>
      <c r="G362" t="n">
        <v>16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61366-2024</t>
        </is>
      </c>
      <c r="B363" s="1" t="n">
        <v>45646.3871412037</v>
      </c>
      <c r="C363" s="1" t="n">
        <v>45952</v>
      </c>
      <c r="D363" t="inlineStr">
        <is>
          <t>VÄSTERBOTTENS LÄN</t>
        </is>
      </c>
      <c r="E363" t="inlineStr">
        <is>
          <t>LYCKSELE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38922-2025</t>
        </is>
      </c>
      <c r="B364" s="1" t="n">
        <v>45887.62902777778</v>
      </c>
      <c r="C364" s="1" t="n">
        <v>45952</v>
      </c>
      <c r="D364" t="inlineStr">
        <is>
          <t>VÄSTERBOTTENS LÄN</t>
        </is>
      </c>
      <c r="E364" t="inlineStr">
        <is>
          <t>LYCKSELE</t>
        </is>
      </c>
      <c r="F364" t="inlineStr">
        <is>
          <t>Sveaskog</t>
        </is>
      </c>
      <c r="G364" t="n">
        <v>12.2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46541-2022</t>
        </is>
      </c>
      <c r="B365" s="1" t="n">
        <v>44847</v>
      </c>
      <c r="C365" s="1" t="n">
        <v>45952</v>
      </c>
      <c r="D365" t="inlineStr">
        <is>
          <t>VÄSTERBOTTENS LÄN</t>
        </is>
      </c>
      <c r="E365" t="inlineStr">
        <is>
          <t>LYCKSELE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38777-2025</t>
        </is>
      </c>
      <c r="B366" s="1" t="n">
        <v>45887.43675925926</v>
      </c>
      <c r="C366" s="1" t="n">
        <v>45952</v>
      </c>
      <c r="D366" t="inlineStr">
        <is>
          <t>VÄSTERBOTTENS LÄN</t>
        </is>
      </c>
      <c r="E366" t="inlineStr">
        <is>
          <t>LYCKSELE</t>
        </is>
      </c>
      <c r="F366" t="inlineStr">
        <is>
          <t>Sveaskog</t>
        </is>
      </c>
      <c r="G366" t="n">
        <v>3.5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52124-2024</t>
        </is>
      </c>
      <c r="B367" s="1" t="n">
        <v>45608.46447916667</v>
      </c>
      <c r="C367" s="1" t="n">
        <v>45952</v>
      </c>
      <c r="D367" t="inlineStr">
        <is>
          <t>VÄSTERBOTTENS LÄN</t>
        </is>
      </c>
      <c r="E367" t="inlineStr">
        <is>
          <t>LYCKSELE</t>
        </is>
      </c>
      <c r="F367" t="inlineStr">
        <is>
          <t>Sveaskog</t>
        </is>
      </c>
      <c r="G367" t="n">
        <v>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53875-2024</t>
        </is>
      </c>
      <c r="B368" s="1" t="n">
        <v>45615</v>
      </c>
      <c r="C368" s="1" t="n">
        <v>45952</v>
      </c>
      <c r="D368" t="inlineStr">
        <is>
          <t>VÄSTERBOTTENS LÄN</t>
        </is>
      </c>
      <c r="E368" t="inlineStr">
        <is>
          <t>LYCKSELE</t>
        </is>
      </c>
      <c r="F368" t="inlineStr">
        <is>
          <t>SCA</t>
        </is>
      </c>
      <c r="G368" t="n">
        <v>8.699999999999999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36357-2024</t>
        </is>
      </c>
      <c r="B369" s="1" t="n">
        <v>45534.64569444444</v>
      </c>
      <c r="C369" s="1" t="n">
        <v>45952</v>
      </c>
      <c r="D369" t="inlineStr">
        <is>
          <t>VÄSTERBOTTENS LÄN</t>
        </is>
      </c>
      <c r="E369" t="inlineStr">
        <is>
          <t>LYCKSELE</t>
        </is>
      </c>
      <c r="F369" t="inlineStr">
        <is>
          <t>SCA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8600-2025</t>
        </is>
      </c>
      <c r="B370" s="1" t="n">
        <v>45709</v>
      </c>
      <c r="C370" s="1" t="n">
        <v>45952</v>
      </c>
      <c r="D370" t="inlineStr">
        <is>
          <t>VÄSTERBOTTENS LÄN</t>
        </is>
      </c>
      <c r="E370" t="inlineStr">
        <is>
          <t>LYCKSELE</t>
        </is>
      </c>
      <c r="G370" t="n">
        <v>3.4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47016-2022</t>
        </is>
      </c>
      <c r="B371" s="1" t="n">
        <v>44851</v>
      </c>
      <c r="C371" s="1" t="n">
        <v>45952</v>
      </c>
      <c r="D371" t="inlineStr">
        <is>
          <t>VÄSTERBOTTENS LÄN</t>
        </is>
      </c>
      <c r="E371" t="inlineStr">
        <is>
          <t>LYCKSELE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56518-2023</t>
        </is>
      </c>
      <c r="B372" s="1" t="n">
        <v>45238</v>
      </c>
      <c r="C372" s="1" t="n">
        <v>45952</v>
      </c>
      <c r="D372" t="inlineStr">
        <is>
          <t>VÄSTERBOTTENS LÄN</t>
        </is>
      </c>
      <c r="E372" t="inlineStr">
        <is>
          <t>LYCKSELE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6800-2025</t>
        </is>
      </c>
      <c r="B373" s="1" t="n">
        <v>45700.67916666667</v>
      </c>
      <c r="C373" s="1" t="n">
        <v>45952</v>
      </c>
      <c r="D373" t="inlineStr">
        <is>
          <t>VÄSTERBOTTENS LÄN</t>
        </is>
      </c>
      <c r="E373" t="inlineStr">
        <is>
          <t>LYCKSELE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60143-2022</t>
        </is>
      </c>
      <c r="B374" s="1" t="n">
        <v>44909</v>
      </c>
      <c r="C374" s="1" t="n">
        <v>45952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Sveaskog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7063-2022</t>
        </is>
      </c>
      <c r="B375" s="1" t="n">
        <v>44603</v>
      </c>
      <c r="C375" s="1" t="n">
        <v>45952</v>
      </c>
      <c r="D375" t="inlineStr">
        <is>
          <t>VÄSTERBOTTENS LÄN</t>
        </is>
      </c>
      <c r="E375" t="inlineStr">
        <is>
          <t>LYCKSELE</t>
        </is>
      </c>
      <c r="G375" t="n">
        <v>14.2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41703-2023</t>
        </is>
      </c>
      <c r="B376" s="1" t="n">
        <v>45176</v>
      </c>
      <c r="C376" s="1" t="n">
        <v>45952</v>
      </c>
      <c r="D376" t="inlineStr">
        <is>
          <t>VÄSTERBOTTENS LÄN</t>
        </is>
      </c>
      <c r="E376" t="inlineStr">
        <is>
          <t>LYCKSELE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38114-2024</t>
        </is>
      </c>
      <c r="B377" s="1" t="n">
        <v>45545</v>
      </c>
      <c r="C377" s="1" t="n">
        <v>45952</v>
      </c>
      <c r="D377" t="inlineStr">
        <is>
          <t>VÄSTERBOTTENS LÄN</t>
        </is>
      </c>
      <c r="E377" t="inlineStr">
        <is>
          <t>LYCKSELE</t>
        </is>
      </c>
      <c r="F377" t="inlineStr">
        <is>
          <t>SCA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12335-2024</t>
        </is>
      </c>
      <c r="B378" s="1" t="n">
        <v>45378.71258101852</v>
      </c>
      <c r="C378" s="1" t="n">
        <v>45952</v>
      </c>
      <c r="D378" t="inlineStr">
        <is>
          <t>VÄSTERBOTTENS LÄN</t>
        </is>
      </c>
      <c r="E378" t="inlineStr">
        <is>
          <t>LYCKSELE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23769-2023</t>
        </is>
      </c>
      <c r="B379" s="1" t="n">
        <v>45077.94409722222</v>
      </c>
      <c r="C379" s="1" t="n">
        <v>45952</v>
      </c>
      <c r="D379" t="inlineStr">
        <is>
          <t>VÄSTERBOTTENS LÄN</t>
        </is>
      </c>
      <c r="E379" t="inlineStr">
        <is>
          <t>LYCKSELE</t>
        </is>
      </c>
      <c r="F379" t="inlineStr">
        <is>
          <t>SCA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40548-2024</t>
        </is>
      </c>
      <c r="B380" s="1" t="n">
        <v>45555.64177083333</v>
      </c>
      <c r="C380" s="1" t="n">
        <v>45952</v>
      </c>
      <c r="D380" t="inlineStr">
        <is>
          <t>VÄSTERBOTTENS LÄN</t>
        </is>
      </c>
      <c r="E380" t="inlineStr">
        <is>
          <t>LYCKSELE</t>
        </is>
      </c>
      <c r="F380" t="inlineStr">
        <is>
          <t>Holmen skog AB</t>
        </is>
      </c>
      <c r="G380" t="n">
        <v>6.6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58961-2022</t>
        </is>
      </c>
      <c r="B381" s="1" t="n">
        <v>44903</v>
      </c>
      <c r="C381" s="1" t="n">
        <v>45952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Holmen skog AB</t>
        </is>
      </c>
      <c r="G381" t="n">
        <v>5.1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849-2022</t>
        </is>
      </c>
      <c r="B382" s="1" t="n">
        <v>44571.42083333333</v>
      </c>
      <c r="C382" s="1" t="n">
        <v>45952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Sveaskog</t>
        </is>
      </c>
      <c r="G382" t="n">
        <v>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58920-2022</t>
        </is>
      </c>
      <c r="B383" s="1" t="n">
        <v>44896</v>
      </c>
      <c r="C383" s="1" t="n">
        <v>45952</v>
      </c>
      <c r="D383" t="inlineStr">
        <is>
          <t>VÄSTERBOTTENS LÄN</t>
        </is>
      </c>
      <c r="E383" t="inlineStr">
        <is>
          <t>LYCKSELE</t>
        </is>
      </c>
      <c r="G383" t="n">
        <v>20.5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47697-2021</t>
        </is>
      </c>
      <c r="B384" s="1" t="n">
        <v>44448.47038194445</v>
      </c>
      <c r="C384" s="1" t="n">
        <v>45952</v>
      </c>
      <c r="D384" t="inlineStr">
        <is>
          <t>VÄSTERBOTTENS LÄN</t>
        </is>
      </c>
      <c r="E384" t="inlineStr">
        <is>
          <t>LYCKSELE</t>
        </is>
      </c>
      <c r="G384" t="n">
        <v>3.9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31372-2024</t>
        </is>
      </c>
      <c r="B385" s="1" t="n">
        <v>45503</v>
      </c>
      <c r="C385" s="1" t="n">
        <v>45952</v>
      </c>
      <c r="D385" t="inlineStr">
        <is>
          <t>VÄSTERBOTTENS LÄN</t>
        </is>
      </c>
      <c r="E385" t="inlineStr">
        <is>
          <t>LYCKSELE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47113-2025</t>
        </is>
      </c>
      <c r="B386" s="1" t="n">
        <v>45929.67430555556</v>
      </c>
      <c r="C386" s="1" t="n">
        <v>45952</v>
      </c>
      <c r="D386" t="inlineStr">
        <is>
          <t>VÄSTERBOTTENS LÄN</t>
        </is>
      </c>
      <c r="E386" t="inlineStr">
        <is>
          <t>LYCKSELE</t>
        </is>
      </c>
      <c r="G386" t="n">
        <v>8.5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31413-2023</t>
        </is>
      </c>
      <c r="B387" s="1" t="n">
        <v>45114.58961805556</v>
      </c>
      <c r="C387" s="1" t="n">
        <v>45952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53874-2024</t>
        </is>
      </c>
      <c r="B388" s="1" t="n">
        <v>45615.65667824074</v>
      </c>
      <c r="C388" s="1" t="n">
        <v>45952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SCA</t>
        </is>
      </c>
      <c r="G388" t="n">
        <v>7.1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26397-2022</t>
        </is>
      </c>
      <c r="B389" s="1" t="n">
        <v>44735</v>
      </c>
      <c r="C389" s="1" t="n">
        <v>45952</v>
      </c>
      <c r="D389" t="inlineStr">
        <is>
          <t>VÄSTERBOTTENS LÄN</t>
        </is>
      </c>
      <c r="E389" t="inlineStr">
        <is>
          <t>LYCKSELE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19233-2023</t>
        </is>
      </c>
      <c r="B390" s="1" t="n">
        <v>45048.92655092593</v>
      </c>
      <c r="C390" s="1" t="n">
        <v>45952</v>
      </c>
      <c r="D390" t="inlineStr">
        <is>
          <t>VÄSTERBOTTENS LÄN</t>
        </is>
      </c>
      <c r="E390" t="inlineStr">
        <is>
          <t>LYCKSELE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17736-2025</t>
        </is>
      </c>
      <c r="B391" s="1" t="n">
        <v>45758.46924768519</v>
      </c>
      <c r="C391" s="1" t="n">
        <v>45952</v>
      </c>
      <c r="D391" t="inlineStr">
        <is>
          <t>VÄSTERBOTTENS LÄN</t>
        </is>
      </c>
      <c r="E391" t="inlineStr">
        <is>
          <t>LYCKSELE</t>
        </is>
      </c>
      <c r="F391" t="inlineStr">
        <is>
          <t>SCA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34635-2024</t>
        </is>
      </c>
      <c r="B392" s="1" t="n">
        <v>45526.47052083333</v>
      </c>
      <c r="C392" s="1" t="n">
        <v>45952</v>
      </c>
      <c r="D392" t="inlineStr">
        <is>
          <t>VÄSTERBOTTENS LÄN</t>
        </is>
      </c>
      <c r="E392" t="inlineStr">
        <is>
          <t>LYCKSELE</t>
        </is>
      </c>
      <c r="F392" t="inlineStr">
        <is>
          <t>Holmen skog AB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41950-2024</t>
        </is>
      </c>
      <c r="B393" s="1" t="n">
        <v>45561.58484953704</v>
      </c>
      <c r="C393" s="1" t="n">
        <v>45952</v>
      </c>
      <c r="D393" t="inlineStr">
        <is>
          <t>VÄSTERBOTTENS LÄN</t>
        </is>
      </c>
      <c r="E393" t="inlineStr">
        <is>
          <t>LYCKSELE</t>
        </is>
      </c>
      <c r="F393" t="inlineStr">
        <is>
          <t>Sveaskog</t>
        </is>
      </c>
      <c r="G393" t="n">
        <v>11.8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25327-2024</t>
        </is>
      </c>
      <c r="B394" s="1" t="n">
        <v>45462.81574074074</v>
      </c>
      <c r="C394" s="1" t="n">
        <v>45952</v>
      </c>
      <c r="D394" t="inlineStr">
        <is>
          <t>VÄSTERBOTTENS LÄN</t>
        </is>
      </c>
      <c r="E394" t="inlineStr">
        <is>
          <t>LYCKSELE</t>
        </is>
      </c>
      <c r="F394" t="inlineStr">
        <is>
          <t>Sveaskog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54680-2024</t>
        </is>
      </c>
      <c r="B395" s="1" t="n">
        <v>45618.3540162037</v>
      </c>
      <c r="C395" s="1" t="n">
        <v>45952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Sveaskog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8917-2023</t>
        </is>
      </c>
      <c r="B396" s="1" t="n">
        <v>44979.3956712963</v>
      </c>
      <c r="C396" s="1" t="n">
        <v>45952</v>
      </c>
      <c r="D396" t="inlineStr">
        <is>
          <t>VÄSTERBOTTENS LÄN</t>
        </is>
      </c>
      <c r="E396" t="inlineStr">
        <is>
          <t>LYCKSELE</t>
        </is>
      </c>
      <c r="G396" t="n">
        <v>12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36900-2023</t>
        </is>
      </c>
      <c r="B397" s="1" t="n">
        <v>45154.64055555555</v>
      </c>
      <c r="C397" s="1" t="n">
        <v>45952</v>
      </c>
      <c r="D397" t="inlineStr">
        <is>
          <t>VÄSTERBOTTENS LÄN</t>
        </is>
      </c>
      <c r="E397" t="inlineStr">
        <is>
          <t>LYCKSELE</t>
        </is>
      </c>
      <c r="F397" t="inlineStr">
        <is>
          <t>Holmen skog AB</t>
        </is>
      </c>
      <c r="G397" t="n">
        <v>3.9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27595-2023</t>
        </is>
      </c>
      <c r="B398" s="1" t="n">
        <v>45097</v>
      </c>
      <c r="C398" s="1" t="n">
        <v>45952</v>
      </c>
      <c r="D398" t="inlineStr">
        <is>
          <t>VÄSTERBOTTENS LÄN</t>
        </is>
      </c>
      <c r="E398" t="inlineStr">
        <is>
          <t>LYCKSELE</t>
        </is>
      </c>
      <c r="F398" t="inlineStr">
        <is>
          <t>Holmen skog AB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37262-2023</t>
        </is>
      </c>
      <c r="B399" s="1" t="n">
        <v>45155</v>
      </c>
      <c r="C399" s="1" t="n">
        <v>45952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18688-2025</t>
        </is>
      </c>
      <c r="B400" s="1" t="n">
        <v>45763.61390046297</v>
      </c>
      <c r="C400" s="1" t="n">
        <v>45952</v>
      </c>
      <c r="D400" t="inlineStr">
        <is>
          <t>VÄSTERBOTTENS LÄN</t>
        </is>
      </c>
      <c r="E400" t="inlineStr">
        <is>
          <t>LYCKSELE</t>
        </is>
      </c>
      <c r="G400" t="n">
        <v>9.9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24338-2024</t>
        </is>
      </c>
      <c r="B401" s="1" t="n">
        <v>45457</v>
      </c>
      <c r="C401" s="1" t="n">
        <v>45952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Holmen skog AB</t>
        </is>
      </c>
      <c r="G401" t="n">
        <v>4.6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24340-2024</t>
        </is>
      </c>
      <c r="B402" s="1" t="n">
        <v>45457.57278935185</v>
      </c>
      <c r="C402" s="1" t="n">
        <v>45952</v>
      </c>
      <c r="D402" t="inlineStr">
        <is>
          <t>VÄSTERBOTTENS LÄN</t>
        </is>
      </c>
      <c r="E402" t="inlineStr">
        <is>
          <t>LYCKSELE</t>
        </is>
      </c>
      <c r="F402" t="inlineStr">
        <is>
          <t>Sveaskog</t>
        </is>
      </c>
      <c r="G402" t="n">
        <v>12.3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38925-2025</t>
        </is>
      </c>
      <c r="B403" s="1" t="n">
        <v>45887.6322337963</v>
      </c>
      <c r="C403" s="1" t="n">
        <v>45952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Sveaskog</t>
        </is>
      </c>
      <c r="G403" t="n">
        <v>12.7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27964-2023</t>
        </is>
      </c>
      <c r="B404" s="1" t="n">
        <v>45098</v>
      </c>
      <c r="C404" s="1" t="n">
        <v>45952</v>
      </c>
      <c r="D404" t="inlineStr">
        <is>
          <t>VÄSTERBOTTENS LÄN</t>
        </is>
      </c>
      <c r="E404" t="inlineStr">
        <is>
          <t>LYCKSELE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47093-2025</t>
        </is>
      </c>
      <c r="B405" s="1" t="n">
        <v>45929.65231481481</v>
      </c>
      <c r="C405" s="1" t="n">
        <v>45952</v>
      </c>
      <c r="D405" t="inlineStr">
        <is>
          <t>VÄSTERBOTTENS LÄN</t>
        </is>
      </c>
      <c r="E405" t="inlineStr">
        <is>
          <t>LYCKSELE</t>
        </is>
      </c>
      <c r="G405" t="n">
        <v>5.7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3947-2023</t>
        </is>
      </c>
      <c r="B406" s="1" t="n">
        <v>44952</v>
      </c>
      <c r="C406" s="1" t="n">
        <v>45952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48832-2024</t>
        </is>
      </c>
      <c r="B407" s="1" t="n">
        <v>45593.719375</v>
      </c>
      <c r="C407" s="1" t="n">
        <v>45952</v>
      </c>
      <c r="D407" t="inlineStr">
        <is>
          <t>VÄSTERBOTTENS LÄN</t>
        </is>
      </c>
      <c r="E407" t="inlineStr">
        <is>
          <t>LYCKSELE</t>
        </is>
      </c>
      <c r="F407" t="inlineStr">
        <is>
          <t>SCA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53035-2023</t>
        </is>
      </c>
      <c r="B408" s="1" t="n">
        <v>45226.96270833333</v>
      </c>
      <c r="C408" s="1" t="n">
        <v>45952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SCA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10253-2024</t>
        </is>
      </c>
      <c r="B409" s="1" t="n">
        <v>45365.3941550926</v>
      </c>
      <c r="C409" s="1" t="n">
        <v>45952</v>
      </c>
      <c r="D409" t="inlineStr">
        <is>
          <t>VÄSTERBOTTENS LÄN</t>
        </is>
      </c>
      <c r="E409" t="inlineStr">
        <is>
          <t>LYCKSELE</t>
        </is>
      </c>
      <c r="G409" t="n">
        <v>6.4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36324-2024</t>
        </is>
      </c>
      <c r="B410" s="1" t="n">
        <v>45534.6363425926</v>
      </c>
      <c r="C410" s="1" t="n">
        <v>45952</v>
      </c>
      <c r="D410" t="inlineStr">
        <is>
          <t>VÄSTERBOTTENS LÄN</t>
        </is>
      </c>
      <c r="E410" t="inlineStr">
        <is>
          <t>LYCKSELE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57263-2024</t>
        </is>
      </c>
      <c r="B411" s="1" t="n">
        <v>45629.56875</v>
      </c>
      <c r="C411" s="1" t="n">
        <v>45952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Sveaskog</t>
        </is>
      </c>
      <c r="G411" t="n">
        <v>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57246-2024</t>
        </is>
      </c>
      <c r="B412" s="1" t="n">
        <v>45629.55165509259</v>
      </c>
      <c r="C412" s="1" t="n">
        <v>45952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6.3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37658-2024</t>
        </is>
      </c>
      <c r="B413" s="1" t="n">
        <v>45541.56019675926</v>
      </c>
      <c r="C413" s="1" t="n">
        <v>45952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Holmen skog AB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32854-2024</t>
        </is>
      </c>
      <c r="B414" s="1" t="n">
        <v>45516.63974537037</v>
      </c>
      <c r="C414" s="1" t="n">
        <v>45952</v>
      </c>
      <c r="D414" t="inlineStr">
        <is>
          <t>VÄSTERBOTTENS LÄN</t>
        </is>
      </c>
      <c r="E414" t="inlineStr">
        <is>
          <t>LYCKSELE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10586-2025</t>
        </is>
      </c>
      <c r="B415" s="1" t="n">
        <v>45721.5528587963</v>
      </c>
      <c r="C415" s="1" t="n">
        <v>45952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SCA</t>
        </is>
      </c>
      <c r="G415" t="n">
        <v>6.1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16183-2025</t>
        </is>
      </c>
      <c r="B416" s="1" t="n">
        <v>45750.57883101852</v>
      </c>
      <c r="C416" s="1" t="n">
        <v>45952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Sveaskog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54277-2024</t>
        </is>
      </c>
      <c r="B417" s="1" t="n">
        <v>45616.8405324074</v>
      </c>
      <c r="C417" s="1" t="n">
        <v>45952</v>
      </c>
      <c r="D417" t="inlineStr">
        <is>
          <t>VÄSTERBOTTENS LÄN</t>
        </is>
      </c>
      <c r="E417" t="inlineStr">
        <is>
          <t>LYCKSELE</t>
        </is>
      </c>
      <c r="F417" t="inlineStr">
        <is>
          <t>Sveaskog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64336-2023</t>
        </is>
      </c>
      <c r="B418" s="1" t="n">
        <v>45279</v>
      </c>
      <c r="C418" s="1" t="n">
        <v>45952</v>
      </c>
      <c r="D418" t="inlineStr">
        <is>
          <t>VÄSTERBOTTENS LÄN</t>
        </is>
      </c>
      <c r="E418" t="inlineStr">
        <is>
          <t>LYCKSELE</t>
        </is>
      </c>
      <c r="G418" t="n">
        <v>6.4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5687-2025</t>
        </is>
      </c>
      <c r="B419" s="1" t="n">
        <v>45694</v>
      </c>
      <c r="C419" s="1" t="n">
        <v>45952</v>
      </c>
      <c r="D419" t="inlineStr">
        <is>
          <t>VÄSTERBOTTENS LÄN</t>
        </is>
      </c>
      <c r="E419" t="inlineStr">
        <is>
          <t>LYCKSELE</t>
        </is>
      </c>
      <c r="G419" t="n">
        <v>3.4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35765-2023</t>
        </is>
      </c>
      <c r="B420" s="1" t="n">
        <v>45147.95506944445</v>
      </c>
      <c r="C420" s="1" t="n">
        <v>45952</v>
      </c>
      <c r="D420" t="inlineStr">
        <is>
          <t>VÄSTERBOTTENS LÄN</t>
        </is>
      </c>
      <c r="E420" t="inlineStr">
        <is>
          <t>LYCKSELE</t>
        </is>
      </c>
      <c r="F420" t="inlineStr">
        <is>
          <t>SCA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41749-2024</t>
        </is>
      </c>
      <c r="B421" s="1" t="n">
        <v>45561.3359375</v>
      </c>
      <c r="C421" s="1" t="n">
        <v>45952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Sveaskog</t>
        </is>
      </c>
      <c r="G421" t="n">
        <v>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23295-2023</t>
        </is>
      </c>
      <c r="B422" s="1" t="n">
        <v>45075</v>
      </c>
      <c r="C422" s="1" t="n">
        <v>45952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SCA</t>
        </is>
      </c>
      <c r="G422" t="n">
        <v>7.4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59376-2024</t>
        </is>
      </c>
      <c r="B423" s="1" t="n">
        <v>45638.34984953704</v>
      </c>
      <c r="C423" s="1" t="n">
        <v>45952</v>
      </c>
      <c r="D423" t="inlineStr">
        <is>
          <t>VÄSTERBOTTENS LÄN</t>
        </is>
      </c>
      <c r="E423" t="inlineStr">
        <is>
          <t>LYCKSELE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30636-2024</t>
        </is>
      </c>
      <c r="B424" s="1" t="n">
        <v>45495.56212962963</v>
      </c>
      <c r="C424" s="1" t="n">
        <v>45952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Sveaskog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48379-2024</t>
        </is>
      </c>
      <c r="B425" s="1" t="n">
        <v>45590.58554398148</v>
      </c>
      <c r="C425" s="1" t="n">
        <v>45952</v>
      </c>
      <c r="D425" t="inlineStr">
        <is>
          <t>VÄSTERBOTTENS LÄN</t>
        </is>
      </c>
      <c r="E425" t="inlineStr">
        <is>
          <t>LYCKSELE</t>
        </is>
      </c>
      <c r="F425" t="inlineStr">
        <is>
          <t>Sveaskog</t>
        </is>
      </c>
      <c r="G425" t="n">
        <v>3.4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51669-2024</t>
        </is>
      </c>
      <c r="B426" s="1" t="n">
        <v>45606.8803587963</v>
      </c>
      <c r="C426" s="1" t="n">
        <v>45952</v>
      </c>
      <c r="D426" t="inlineStr">
        <is>
          <t>VÄSTERBOTTENS LÄN</t>
        </is>
      </c>
      <c r="E426" t="inlineStr">
        <is>
          <t>LYCKSELE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51368-2023</t>
        </is>
      </c>
      <c r="B427" s="1" t="n">
        <v>45219</v>
      </c>
      <c r="C427" s="1" t="n">
        <v>45952</v>
      </c>
      <c r="D427" t="inlineStr">
        <is>
          <t>VÄSTERBOTTENS LÄN</t>
        </is>
      </c>
      <c r="E427" t="inlineStr">
        <is>
          <t>LYCKSELE</t>
        </is>
      </c>
      <c r="F427" t="inlineStr">
        <is>
          <t>Holmen skog AB</t>
        </is>
      </c>
      <c r="G427" t="n">
        <v>9.199999999999999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23971-2024</t>
        </is>
      </c>
      <c r="B428" s="1" t="n">
        <v>45455</v>
      </c>
      <c r="C428" s="1" t="n">
        <v>45952</v>
      </c>
      <c r="D428" t="inlineStr">
        <is>
          <t>VÄSTERBOTTENS LÄN</t>
        </is>
      </c>
      <c r="E428" t="inlineStr">
        <is>
          <t>LYCKSELE</t>
        </is>
      </c>
      <c r="F428" t="inlineStr">
        <is>
          <t>SCA</t>
        </is>
      </c>
      <c r="G428" t="n">
        <v>10.4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20148-2025</t>
        </is>
      </c>
      <c r="B429" s="1" t="n">
        <v>45772</v>
      </c>
      <c r="C429" s="1" t="n">
        <v>45952</v>
      </c>
      <c r="D429" t="inlineStr">
        <is>
          <t>VÄSTERBOTTENS LÄN</t>
        </is>
      </c>
      <c r="E429" t="inlineStr">
        <is>
          <t>LYCKSELE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27929-2024</t>
        </is>
      </c>
      <c r="B430" s="1" t="n">
        <v>45475.94980324074</v>
      </c>
      <c r="C430" s="1" t="n">
        <v>45952</v>
      </c>
      <c r="D430" t="inlineStr">
        <is>
          <t>VÄSTERBOTTENS LÄN</t>
        </is>
      </c>
      <c r="E430" t="inlineStr">
        <is>
          <t>LYCKSELE</t>
        </is>
      </c>
      <c r="F430" t="inlineStr">
        <is>
          <t>Naturvårdsverket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27932-2024</t>
        </is>
      </c>
      <c r="B431" s="1" t="n">
        <v>45475.95016203704</v>
      </c>
      <c r="C431" s="1" t="n">
        <v>45952</v>
      </c>
      <c r="D431" t="inlineStr">
        <is>
          <t>VÄSTERBOTTENS LÄN</t>
        </is>
      </c>
      <c r="E431" t="inlineStr">
        <is>
          <t>LYCKSELE</t>
        </is>
      </c>
      <c r="F431" t="inlineStr">
        <is>
          <t>Naturvårdsverket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4673-2023</t>
        </is>
      </c>
      <c r="B432" s="1" t="n">
        <v>44952</v>
      </c>
      <c r="C432" s="1" t="n">
        <v>45952</v>
      </c>
      <c r="D432" t="inlineStr">
        <is>
          <t>VÄSTERBOTTENS LÄN</t>
        </is>
      </c>
      <c r="E432" t="inlineStr">
        <is>
          <t>LYCKSELE</t>
        </is>
      </c>
      <c r="G432" t="n">
        <v>3.4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62874-2023</t>
        </is>
      </c>
      <c r="B433" s="1" t="n">
        <v>45271</v>
      </c>
      <c r="C433" s="1" t="n">
        <v>45952</v>
      </c>
      <c r="D433" t="inlineStr">
        <is>
          <t>VÄSTERBOTTENS LÄN</t>
        </is>
      </c>
      <c r="E433" t="inlineStr">
        <is>
          <t>LYCKSELE</t>
        </is>
      </c>
      <c r="G433" t="n">
        <v>4.4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32475-2024</t>
        </is>
      </c>
      <c r="B434" s="1" t="n">
        <v>45513.33157407407</v>
      </c>
      <c r="C434" s="1" t="n">
        <v>45952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Holmen skog AB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55938-2023</t>
        </is>
      </c>
      <c r="B435" s="1" t="n">
        <v>45240.28634259259</v>
      </c>
      <c r="C435" s="1" t="n">
        <v>45952</v>
      </c>
      <c r="D435" t="inlineStr">
        <is>
          <t>VÄSTERBOTTENS LÄN</t>
        </is>
      </c>
      <c r="E435" t="inlineStr">
        <is>
          <t>LYCKSELE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37500-2024</t>
        </is>
      </c>
      <c r="B436" s="1" t="n">
        <v>45541.36966435185</v>
      </c>
      <c r="C436" s="1" t="n">
        <v>45952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Holmen skog AB</t>
        </is>
      </c>
      <c r="G436" t="n">
        <v>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52370-2022</t>
        </is>
      </c>
      <c r="B437" s="1" t="n">
        <v>44874</v>
      </c>
      <c r="C437" s="1" t="n">
        <v>45952</v>
      </c>
      <c r="D437" t="inlineStr">
        <is>
          <t>VÄSTERBOTTENS LÄN</t>
        </is>
      </c>
      <c r="E437" t="inlineStr">
        <is>
          <t>LYCKSELE</t>
        </is>
      </c>
      <c r="F437" t="inlineStr">
        <is>
          <t>Sveaskog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53788-2024</t>
        </is>
      </c>
      <c r="B438" s="1" t="n">
        <v>45615.57329861111</v>
      </c>
      <c r="C438" s="1" t="n">
        <v>45952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SCA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53790-2024</t>
        </is>
      </c>
      <c r="B439" s="1" t="n">
        <v>45615.5746412037</v>
      </c>
      <c r="C439" s="1" t="n">
        <v>45952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SCA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53791-2024</t>
        </is>
      </c>
      <c r="B440" s="1" t="n">
        <v>45615.57478009259</v>
      </c>
      <c r="C440" s="1" t="n">
        <v>45952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SCA</t>
        </is>
      </c>
      <c r="G440" t="n">
        <v>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43875-2023</t>
        </is>
      </c>
      <c r="B441" s="1" t="n">
        <v>45187.64328703703</v>
      </c>
      <c r="C441" s="1" t="n">
        <v>45952</v>
      </c>
      <c r="D441" t="inlineStr">
        <is>
          <t>VÄSTERBOTTENS LÄN</t>
        </is>
      </c>
      <c r="E441" t="inlineStr">
        <is>
          <t>LYCKSELE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28550-2023</t>
        </is>
      </c>
      <c r="B442" s="1" t="n">
        <v>45103.50481481481</v>
      </c>
      <c r="C442" s="1" t="n">
        <v>45952</v>
      </c>
      <c r="D442" t="inlineStr">
        <is>
          <t>VÄSTERBOTTENS LÄN</t>
        </is>
      </c>
      <c r="E442" t="inlineStr">
        <is>
          <t>LYCKSELE</t>
        </is>
      </c>
      <c r="F442" t="inlineStr">
        <is>
          <t>Sveaskog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29543-2023</t>
        </is>
      </c>
      <c r="B443" s="1" t="n">
        <v>45106.64143518519</v>
      </c>
      <c r="C443" s="1" t="n">
        <v>45952</v>
      </c>
      <c r="D443" t="inlineStr">
        <is>
          <t>VÄSTERBOTTENS LÄN</t>
        </is>
      </c>
      <c r="E443" t="inlineStr">
        <is>
          <t>LYCKSELE</t>
        </is>
      </c>
      <c r="G443" t="n">
        <v>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41101-2022</t>
        </is>
      </c>
      <c r="B444" s="1" t="n">
        <v>44820</v>
      </c>
      <c r="C444" s="1" t="n">
        <v>45952</v>
      </c>
      <c r="D444" t="inlineStr">
        <is>
          <t>VÄSTERBOTTENS LÄN</t>
        </is>
      </c>
      <c r="E444" t="inlineStr">
        <is>
          <t>LYCKSELE</t>
        </is>
      </c>
      <c r="G444" t="n">
        <v>13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45352-2024</t>
        </is>
      </c>
      <c r="B445" s="1" t="n">
        <v>45576</v>
      </c>
      <c r="C445" s="1" t="n">
        <v>45952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7.6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51466-2024</t>
        </is>
      </c>
      <c r="B446" s="1" t="n">
        <v>45604</v>
      </c>
      <c r="C446" s="1" t="n">
        <v>45952</v>
      </c>
      <c r="D446" t="inlineStr">
        <is>
          <t>VÄSTERBOTTENS LÄN</t>
        </is>
      </c>
      <c r="E446" t="inlineStr">
        <is>
          <t>LYCKSELE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2761-2025</t>
        </is>
      </c>
      <c r="B447" s="1" t="n">
        <v>45677.48184027777</v>
      </c>
      <c r="C447" s="1" t="n">
        <v>45952</v>
      </c>
      <c r="D447" t="inlineStr">
        <is>
          <t>VÄSTERBOTTENS LÄN</t>
        </is>
      </c>
      <c r="E447" t="inlineStr">
        <is>
          <t>LYCKSELE</t>
        </is>
      </c>
      <c r="G447" t="n">
        <v>7.8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2794-2025</t>
        </is>
      </c>
      <c r="B448" s="1" t="n">
        <v>45677.56866898148</v>
      </c>
      <c r="C448" s="1" t="n">
        <v>45952</v>
      </c>
      <c r="D448" t="inlineStr">
        <is>
          <t>VÄSTERBOTTENS LÄN</t>
        </is>
      </c>
      <c r="E448" t="inlineStr">
        <is>
          <t>LYCKSELE</t>
        </is>
      </c>
      <c r="F448" t="inlineStr">
        <is>
          <t>Sveaskog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57471-2024</t>
        </is>
      </c>
      <c r="B449" s="1" t="n">
        <v>45630.34428240741</v>
      </c>
      <c r="C449" s="1" t="n">
        <v>45952</v>
      </c>
      <c r="D449" t="inlineStr">
        <is>
          <t>VÄSTERBOTTENS LÄN</t>
        </is>
      </c>
      <c r="E449" t="inlineStr">
        <is>
          <t>LYCKSELE</t>
        </is>
      </c>
      <c r="F449" t="inlineStr">
        <is>
          <t>SCA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60542-2024</t>
        </is>
      </c>
      <c r="B450" s="1" t="n">
        <v>45643.79216435185</v>
      </c>
      <c r="C450" s="1" t="n">
        <v>45952</v>
      </c>
      <c r="D450" t="inlineStr">
        <is>
          <t>VÄSTERBOTTENS LÄN</t>
        </is>
      </c>
      <c r="E450" t="inlineStr">
        <is>
          <t>LYCKSELE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932-2022</t>
        </is>
      </c>
      <c r="B451" s="1" t="n">
        <v>44571</v>
      </c>
      <c r="C451" s="1" t="n">
        <v>45952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Sveaskog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53323-2021</t>
        </is>
      </c>
      <c r="B452" s="1" t="n">
        <v>44468.56100694444</v>
      </c>
      <c r="C452" s="1" t="n">
        <v>45952</v>
      </c>
      <c r="D452" t="inlineStr">
        <is>
          <t>VÄSTERBOTTENS LÄN</t>
        </is>
      </c>
      <c r="E452" t="inlineStr">
        <is>
          <t>LYCKSELE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48992-2023</t>
        </is>
      </c>
      <c r="B453" s="1" t="n">
        <v>45209.64944444445</v>
      </c>
      <c r="C453" s="1" t="n">
        <v>45952</v>
      </c>
      <c r="D453" t="inlineStr">
        <is>
          <t>VÄSTERBOTTENS LÄN</t>
        </is>
      </c>
      <c r="E453" t="inlineStr">
        <is>
          <t>LYCKSELE</t>
        </is>
      </c>
      <c r="G453" t="n">
        <v>4.6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43788-2025</t>
        </is>
      </c>
      <c r="B454" s="1" t="n">
        <v>45912</v>
      </c>
      <c r="C454" s="1" t="n">
        <v>45952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Holmen skog AB</t>
        </is>
      </c>
      <c r="G454" t="n">
        <v>22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15564-2023</t>
        </is>
      </c>
      <c r="B455" s="1" t="n">
        <v>45020</v>
      </c>
      <c r="C455" s="1" t="n">
        <v>45952</v>
      </c>
      <c r="D455" t="inlineStr">
        <is>
          <t>VÄSTERBOTTENS LÄN</t>
        </is>
      </c>
      <c r="E455" t="inlineStr">
        <is>
          <t>LYCKSELE</t>
        </is>
      </c>
      <c r="G455" t="n">
        <v>5.9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37599-2024</t>
        </is>
      </c>
      <c r="B456" s="1" t="n">
        <v>45541</v>
      </c>
      <c r="C456" s="1" t="n">
        <v>45952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Holmen skog AB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28528-2023</t>
        </is>
      </c>
      <c r="B457" s="1" t="n">
        <v>45103</v>
      </c>
      <c r="C457" s="1" t="n">
        <v>45952</v>
      </c>
      <c r="D457" t="inlineStr">
        <is>
          <t>VÄSTERBOTTENS LÄN</t>
        </is>
      </c>
      <c r="E457" t="inlineStr">
        <is>
          <t>LYCKSELE</t>
        </is>
      </c>
      <c r="F457" t="inlineStr">
        <is>
          <t>Sveaskog</t>
        </is>
      </c>
      <c r="G457" t="n">
        <v>4.1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46817-2024</t>
        </is>
      </c>
      <c r="B458" s="1" t="n">
        <v>45583</v>
      </c>
      <c r="C458" s="1" t="n">
        <v>45952</v>
      </c>
      <c r="D458" t="inlineStr">
        <is>
          <t>VÄSTERBOTTENS LÄN</t>
        </is>
      </c>
      <c r="E458" t="inlineStr">
        <is>
          <t>LYCKSELE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35970-2024</t>
        </is>
      </c>
      <c r="B459" s="1" t="n">
        <v>45533.48732638889</v>
      </c>
      <c r="C459" s="1" t="n">
        <v>45952</v>
      </c>
      <c r="D459" t="inlineStr">
        <is>
          <t>VÄSTERBOTTENS LÄN</t>
        </is>
      </c>
      <c r="E459" t="inlineStr">
        <is>
          <t>LYCKSELE</t>
        </is>
      </c>
      <c r="F459" t="inlineStr">
        <is>
          <t>Sveaskog</t>
        </is>
      </c>
      <c r="G459" t="n">
        <v>12.6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43973-2023</t>
        </is>
      </c>
      <c r="B460" s="1" t="n">
        <v>45187</v>
      </c>
      <c r="C460" s="1" t="n">
        <v>45952</v>
      </c>
      <c r="D460" t="inlineStr">
        <is>
          <t>VÄSTERBOTTENS LÄN</t>
        </is>
      </c>
      <c r="E460" t="inlineStr">
        <is>
          <t>LYCKSELE</t>
        </is>
      </c>
      <c r="F460" t="inlineStr">
        <is>
          <t>SCA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15239-2025</t>
        </is>
      </c>
      <c r="B461" s="1" t="n">
        <v>45744.61188657407</v>
      </c>
      <c r="C461" s="1" t="n">
        <v>45952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Holmen skog AB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23164-2022</t>
        </is>
      </c>
      <c r="B462" s="1" t="n">
        <v>44719</v>
      </c>
      <c r="C462" s="1" t="n">
        <v>45952</v>
      </c>
      <c r="D462" t="inlineStr">
        <is>
          <t>VÄSTERBOTTENS LÄN</t>
        </is>
      </c>
      <c r="E462" t="inlineStr">
        <is>
          <t>LYCKSELE</t>
        </is>
      </c>
      <c r="G462" t="n">
        <v>4.1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54275-2024</t>
        </is>
      </c>
      <c r="B463" s="1" t="n">
        <v>45616.83502314815</v>
      </c>
      <c r="C463" s="1" t="n">
        <v>45952</v>
      </c>
      <c r="D463" t="inlineStr">
        <is>
          <t>VÄSTERBOTTENS LÄN</t>
        </is>
      </c>
      <c r="E463" t="inlineStr">
        <is>
          <t>LYCKSELE</t>
        </is>
      </c>
      <c r="F463" t="inlineStr">
        <is>
          <t>Sveaskog</t>
        </is>
      </c>
      <c r="G463" t="n">
        <v>6.4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41728-2023</t>
        </is>
      </c>
      <c r="B464" s="1" t="n">
        <v>45176</v>
      </c>
      <c r="C464" s="1" t="n">
        <v>45952</v>
      </c>
      <c r="D464" t="inlineStr">
        <is>
          <t>VÄSTERBOTTENS LÄN</t>
        </is>
      </c>
      <c r="E464" t="inlineStr">
        <is>
          <t>LYCKSELE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16219-2024</t>
        </is>
      </c>
      <c r="B465" s="1" t="n">
        <v>45406.96375</v>
      </c>
      <c r="C465" s="1" t="n">
        <v>45952</v>
      </c>
      <c r="D465" t="inlineStr">
        <is>
          <t>VÄSTERBOTTENS LÄN</t>
        </is>
      </c>
      <c r="E465" t="inlineStr">
        <is>
          <t>LYCKSELE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38774-2025</t>
        </is>
      </c>
      <c r="B466" s="1" t="n">
        <v>45887.42543981481</v>
      </c>
      <c r="C466" s="1" t="n">
        <v>45952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Sveaskog</t>
        </is>
      </c>
      <c r="G466" t="n">
        <v>10.7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15046-2023</t>
        </is>
      </c>
      <c r="B467" s="1" t="n">
        <v>45015</v>
      </c>
      <c r="C467" s="1" t="n">
        <v>45952</v>
      </c>
      <c r="D467" t="inlineStr">
        <is>
          <t>VÄSTERBOTTENS LÄN</t>
        </is>
      </c>
      <c r="E467" t="inlineStr">
        <is>
          <t>LYCKSELE</t>
        </is>
      </c>
      <c r="G467" t="n">
        <v>13.4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45361-2024</t>
        </is>
      </c>
      <c r="B468" s="1" t="n">
        <v>45576.48423611111</v>
      </c>
      <c r="C468" s="1" t="n">
        <v>45952</v>
      </c>
      <c r="D468" t="inlineStr">
        <is>
          <t>VÄSTERBOTTENS LÄN</t>
        </is>
      </c>
      <c r="E468" t="inlineStr">
        <is>
          <t>LYCKSELE</t>
        </is>
      </c>
      <c r="F468" t="inlineStr">
        <is>
          <t>Holmen skog AB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61401-2024</t>
        </is>
      </c>
      <c r="B469" s="1" t="n">
        <v>45646.42950231482</v>
      </c>
      <c r="C469" s="1" t="n">
        <v>45952</v>
      </c>
      <c r="D469" t="inlineStr">
        <is>
          <t>VÄSTERBOTTENS LÄN</t>
        </is>
      </c>
      <c r="E469" t="inlineStr">
        <is>
          <t>LYCKSELE</t>
        </is>
      </c>
      <c r="G469" t="n">
        <v>5.7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58040-2023</t>
        </is>
      </c>
      <c r="B470" s="1" t="n">
        <v>45247.67944444445</v>
      </c>
      <c r="C470" s="1" t="n">
        <v>45952</v>
      </c>
      <c r="D470" t="inlineStr">
        <is>
          <t>VÄSTERBOTTENS LÄN</t>
        </is>
      </c>
      <c r="E470" t="inlineStr">
        <is>
          <t>LYCKSELE</t>
        </is>
      </c>
      <c r="F470" t="inlineStr">
        <is>
          <t>Sveaskog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21660-2023</t>
        </is>
      </c>
      <c r="B471" s="1" t="n">
        <v>45063</v>
      </c>
      <c r="C471" s="1" t="n">
        <v>45952</v>
      </c>
      <c r="D471" t="inlineStr">
        <is>
          <t>VÄSTERBOTTENS LÄN</t>
        </is>
      </c>
      <c r="E471" t="inlineStr">
        <is>
          <t>LYCKSELE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7001-2022</t>
        </is>
      </c>
      <c r="B472" s="1" t="n">
        <v>44603</v>
      </c>
      <c r="C472" s="1" t="n">
        <v>45952</v>
      </c>
      <c r="D472" t="inlineStr">
        <is>
          <t>VÄSTERBOTTENS LÄN</t>
        </is>
      </c>
      <c r="E472" t="inlineStr">
        <is>
          <t>LYCKSELE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40445-2024</t>
        </is>
      </c>
      <c r="B473" s="1" t="n">
        <v>45555</v>
      </c>
      <c r="C473" s="1" t="n">
        <v>45952</v>
      </c>
      <c r="D473" t="inlineStr">
        <is>
          <t>VÄSTERBOTTENS LÄN</t>
        </is>
      </c>
      <c r="E473" t="inlineStr">
        <is>
          <t>LYCKSELE</t>
        </is>
      </c>
      <c r="G473" t="n">
        <v>3.6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40488-2024</t>
        </is>
      </c>
      <c r="B474" s="1" t="n">
        <v>45555.55739583333</v>
      </c>
      <c r="C474" s="1" t="n">
        <v>45952</v>
      </c>
      <c r="D474" t="inlineStr">
        <is>
          <t>VÄSTERBOTTENS LÄN</t>
        </is>
      </c>
      <c r="E474" t="inlineStr">
        <is>
          <t>LYCKSELE</t>
        </is>
      </c>
      <c r="F474" t="inlineStr">
        <is>
          <t>Sveaskog</t>
        </is>
      </c>
      <c r="G474" t="n">
        <v>6.8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43925-2024</t>
        </is>
      </c>
      <c r="B475" s="1" t="n">
        <v>45572.45052083334</v>
      </c>
      <c r="C475" s="1" t="n">
        <v>45952</v>
      </c>
      <c r="D475" t="inlineStr">
        <is>
          <t>VÄSTERBOTTENS LÄN</t>
        </is>
      </c>
      <c r="E475" t="inlineStr">
        <is>
          <t>LYCKSELE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45406-2024</t>
        </is>
      </c>
      <c r="B476" s="1" t="n">
        <v>45576.58394675926</v>
      </c>
      <c r="C476" s="1" t="n">
        <v>45952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Naturvårdsverket</t>
        </is>
      </c>
      <c r="G476" t="n">
        <v>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44385-2024</t>
        </is>
      </c>
      <c r="B477" s="1" t="n">
        <v>45573.68590277778</v>
      </c>
      <c r="C477" s="1" t="n">
        <v>45952</v>
      </c>
      <c r="D477" t="inlineStr">
        <is>
          <t>VÄSTERBOTTENS LÄN</t>
        </is>
      </c>
      <c r="E477" t="inlineStr">
        <is>
          <t>LYCKSELE</t>
        </is>
      </c>
      <c r="G477" t="n">
        <v>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20287-2022</t>
        </is>
      </c>
      <c r="B478" s="1" t="n">
        <v>44698</v>
      </c>
      <c r="C478" s="1" t="n">
        <v>45952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Holmen skog AB</t>
        </is>
      </c>
      <c r="G478" t="n">
        <v>11.5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9090-2025</t>
        </is>
      </c>
      <c r="B479" s="1" t="n">
        <v>45713.67753472222</v>
      </c>
      <c r="C479" s="1" t="n">
        <v>45952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SCA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41756-2024</t>
        </is>
      </c>
      <c r="B480" s="1" t="n">
        <v>45561</v>
      </c>
      <c r="C480" s="1" t="n">
        <v>45952</v>
      </c>
      <c r="D480" t="inlineStr">
        <is>
          <t>VÄSTERBOTTENS LÄN</t>
        </is>
      </c>
      <c r="E480" t="inlineStr">
        <is>
          <t>LYCKSELE</t>
        </is>
      </c>
      <c r="F480" t="inlineStr">
        <is>
          <t>Sveaskog</t>
        </is>
      </c>
      <c r="G480" t="n">
        <v>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59272-2022</t>
        </is>
      </c>
      <c r="B481" s="1" t="n">
        <v>44904.59792824074</v>
      </c>
      <c r="C481" s="1" t="n">
        <v>45952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Sveaskog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14773-2025</t>
        </is>
      </c>
      <c r="B482" s="1" t="n">
        <v>45742.69009259259</v>
      </c>
      <c r="C482" s="1" t="n">
        <v>45952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Holmen skog AB</t>
        </is>
      </c>
      <c r="G482" t="n">
        <v>50.1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14794-2025</t>
        </is>
      </c>
      <c r="B483" s="1" t="n">
        <v>45742.87457175926</v>
      </c>
      <c r="C483" s="1" t="n">
        <v>45952</v>
      </c>
      <c r="D483" t="inlineStr">
        <is>
          <t>VÄSTERBOTTENS LÄN</t>
        </is>
      </c>
      <c r="E483" t="inlineStr">
        <is>
          <t>LYCKSELE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68665-2021</t>
        </is>
      </c>
      <c r="B484" s="1" t="n">
        <v>44529</v>
      </c>
      <c r="C484" s="1" t="n">
        <v>45952</v>
      </c>
      <c r="D484" t="inlineStr">
        <is>
          <t>VÄSTERBOTTENS LÄN</t>
        </is>
      </c>
      <c r="E484" t="inlineStr">
        <is>
          <t>LYCKSELE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28525-2023</t>
        </is>
      </c>
      <c r="B485" s="1" t="n">
        <v>45103</v>
      </c>
      <c r="C485" s="1" t="n">
        <v>45952</v>
      </c>
      <c r="D485" t="inlineStr">
        <is>
          <t>VÄSTERBOTTENS LÄN</t>
        </is>
      </c>
      <c r="E485" t="inlineStr">
        <is>
          <t>LYCKSELE</t>
        </is>
      </c>
      <c r="F485" t="inlineStr">
        <is>
          <t>Sveaskog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28545-2023</t>
        </is>
      </c>
      <c r="B486" s="1" t="n">
        <v>45103.50075231482</v>
      </c>
      <c r="C486" s="1" t="n">
        <v>45952</v>
      </c>
      <c r="D486" t="inlineStr">
        <is>
          <t>VÄSTERBOTTENS LÄN</t>
        </is>
      </c>
      <c r="E486" t="inlineStr">
        <is>
          <t>LYCKSELE</t>
        </is>
      </c>
      <c r="F486" t="inlineStr">
        <is>
          <t>Sveaskog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39047-2023</t>
        </is>
      </c>
      <c r="B487" s="1" t="n">
        <v>45163.92709490741</v>
      </c>
      <c r="C487" s="1" t="n">
        <v>45952</v>
      </c>
      <c r="D487" t="inlineStr">
        <is>
          <t>VÄSTERBOTTENS LÄN</t>
        </is>
      </c>
      <c r="E487" t="inlineStr">
        <is>
          <t>LYCKSELE</t>
        </is>
      </c>
      <c r="G487" t="n">
        <v>3.4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8964-2024</t>
        </is>
      </c>
      <c r="B488" s="1" t="n">
        <v>45357.47782407407</v>
      </c>
      <c r="C488" s="1" t="n">
        <v>45952</v>
      </c>
      <c r="D488" t="inlineStr">
        <is>
          <t>VÄSTERBOTTENS LÄN</t>
        </is>
      </c>
      <c r="E488" t="inlineStr">
        <is>
          <t>LYCKSELE</t>
        </is>
      </c>
      <c r="G488" t="n">
        <v>7.3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39605-2024</t>
        </is>
      </c>
      <c r="B489" s="1" t="n">
        <v>45552.38758101852</v>
      </c>
      <c r="C489" s="1" t="n">
        <v>45952</v>
      </c>
      <c r="D489" t="inlineStr">
        <is>
          <t>VÄSTERBOTTENS LÄN</t>
        </is>
      </c>
      <c r="E489" t="inlineStr">
        <is>
          <t>LYCKSELE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25902-2022</t>
        </is>
      </c>
      <c r="B490" s="1" t="n">
        <v>44733</v>
      </c>
      <c r="C490" s="1" t="n">
        <v>45952</v>
      </c>
      <c r="D490" t="inlineStr">
        <is>
          <t>VÄSTERBOTTENS LÄN</t>
        </is>
      </c>
      <c r="E490" t="inlineStr">
        <is>
          <t>LYCKSELE</t>
        </is>
      </c>
      <c r="G490" t="n">
        <v>8.199999999999999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43566-2024</t>
        </is>
      </c>
      <c r="B491" s="1" t="n">
        <v>45569.40431712963</v>
      </c>
      <c r="C491" s="1" t="n">
        <v>45952</v>
      </c>
      <c r="D491" t="inlineStr">
        <is>
          <t>VÄSTERBOTTENS LÄN</t>
        </is>
      </c>
      <c r="E491" t="inlineStr">
        <is>
          <t>LYCKSELE</t>
        </is>
      </c>
      <c r="F491" t="inlineStr">
        <is>
          <t>Sveaskog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30421-2024</t>
        </is>
      </c>
      <c r="B492" s="1" t="n">
        <v>45491.66295138889</v>
      </c>
      <c r="C492" s="1" t="n">
        <v>45952</v>
      </c>
      <c r="D492" t="inlineStr">
        <is>
          <t>VÄSTERBOTTENS LÄN</t>
        </is>
      </c>
      <c r="E492" t="inlineStr">
        <is>
          <t>LYCKSELE</t>
        </is>
      </c>
      <c r="F492" t="inlineStr">
        <is>
          <t>Sveaskog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36851-2023</t>
        </is>
      </c>
      <c r="B493" s="1" t="n">
        <v>45154.53600694444</v>
      </c>
      <c r="C493" s="1" t="n">
        <v>45952</v>
      </c>
      <c r="D493" t="inlineStr">
        <is>
          <t>VÄSTERBOTTENS LÄN</t>
        </is>
      </c>
      <c r="E493" t="inlineStr">
        <is>
          <t>LYCKSELE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12424-2025</t>
        </is>
      </c>
      <c r="B494" s="1" t="n">
        <v>45730.45533564815</v>
      </c>
      <c r="C494" s="1" t="n">
        <v>45952</v>
      </c>
      <c r="D494" t="inlineStr">
        <is>
          <t>VÄSTERBOTTENS LÄN</t>
        </is>
      </c>
      <c r="E494" t="inlineStr">
        <is>
          <t>LYCKSELE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73113-2021</t>
        </is>
      </c>
      <c r="B495" s="1" t="n">
        <v>44550</v>
      </c>
      <c r="C495" s="1" t="n">
        <v>45952</v>
      </c>
      <c r="D495" t="inlineStr">
        <is>
          <t>VÄSTERBOTTENS LÄN</t>
        </is>
      </c>
      <c r="E495" t="inlineStr">
        <is>
          <t>LYCKSELE</t>
        </is>
      </c>
      <c r="G495" t="n">
        <v>2.2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7837-2023</t>
        </is>
      </c>
      <c r="B496" s="1" t="n">
        <v>44973.48649305556</v>
      </c>
      <c r="C496" s="1" t="n">
        <v>45952</v>
      </c>
      <c r="D496" t="inlineStr">
        <is>
          <t>VÄSTERBOTTENS LÄN</t>
        </is>
      </c>
      <c r="E496" t="inlineStr">
        <is>
          <t>LYCKSELE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12333-2024</t>
        </is>
      </c>
      <c r="B497" s="1" t="n">
        <v>45378</v>
      </c>
      <c r="C497" s="1" t="n">
        <v>45952</v>
      </c>
      <c r="D497" t="inlineStr">
        <is>
          <t>VÄSTERBOTTENS LÄN</t>
        </is>
      </c>
      <c r="E497" t="inlineStr">
        <is>
          <t>LYCKSELE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48542-2023</t>
        </is>
      </c>
      <c r="B498" s="1" t="n">
        <v>45208.3863425926</v>
      </c>
      <c r="C498" s="1" t="n">
        <v>45952</v>
      </c>
      <c r="D498" t="inlineStr">
        <is>
          <t>VÄSTERBOTTENS LÄN</t>
        </is>
      </c>
      <c r="E498" t="inlineStr">
        <is>
          <t>LYCKSELE</t>
        </is>
      </c>
      <c r="G498" t="n">
        <v>5.5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18566-2025</t>
        </is>
      </c>
      <c r="B499" s="1" t="n">
        <v>45763.45278935185</v>
      </c>
      <c r="C499" s="1" t="n">
        <v>45952</v>
      </c>
      <c r="D499" t="inlineStr">
        <is>
          <t>VÄSTERBOTTENS LÄN</t>
        </is>
      </c>
      <c r="E499" t="inlineStr">
        <is>
          <t>LYCKSELE</t>
        </is>
      </c>
      <c r="F499" t="inlineStr">
        <is>
          <t>Holmen skog AB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26358-2023</t>
        </is>
      </c>
      <c r="B500" s="1" t="n">
        <v>45091</v>
      </c>
      <c r="C500" s="1" t="n">
        <v>45952</v>
      </c>
      <c r="D500" t="inlineStr">
        <is>
          <t>VÄSTERBOTTENS LÄN</t>
        </is>
      </c>
      <c r="E500" t="inlineStr">
        <is>
          <t>LYCKSELE</t>
        </is>
      </c>
      <c r="F500" t="inlineStr">
        <is>
          <t>SCA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26071-2024</t>
        </is>
      </c>
      <c r="B501" s="1" t="n">
        <v>45468.36027777778</v>
      </c>
      <c r="C501" s="1" t="n">
        <v>45952</v>
      </c>
      <c r="D501" t="inlineStr">
        <is>
          <t>VÄSTERBOTTENS LÄN</t>
        </is>
      </c>
      <c r="E501" t="inlineStr">
        <is>
          <t>LYCKSELE</t>
        </is>
      </c>
      <c r="G501" t="n">
        <v>8.1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61799-2023</t>
        </is>
      </c>
      <c r="B502" s="1" t="n">
        <v>45265.95865740741</v>
      </c>
      <c r="C502" s="1" t="n">
        <v>45952</v>
      </c>
      <c r="D502" t="inlineStr">
        <is>
          <t>VÄSTERBOTTENS LÄN</t>
        </is>
      </c>
      <c r="E502" t="inlineStr">
        <is>
          <t>LYCKSELE</t>
        </is>
      </c>
      <c r="F502" t="inlineStr">
        <is>
          <t>SCA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38623-2024</t>
        </is>
      </c>
      <c r="B503" s="1" t="n">
        <v>45546.73186342593</v>
      </c>
      <c r="C503" s="1" t="n">
        <v>45952</v>
      </c>
      <c r="D503" t="inlineStr">
        <is>
          <t>VÄSTERBOTTENS LÄN</t>
        </is>
      </c>
      <c r="E503" t="inlineStr">
        <is>
          <t>LYCKSELE</t>
        </is>
      </c>
      <c r="G503" t="n">
        <v>5.9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50072-2024</t>
        </is>
      </c>
      <c r="B504" s="1" t="n">
        <v>45600.36332175926</v>
      </c>
      <c r="C504" s="1" t="n">
        <v>45952</v>
      </c>
      <c r="D504" t="inlineStr">
        <is>
          <t>VÄSTERBOTTENS LÄN</t>
        </is>
      </c>
      <c r="E504" t="inlineStr">
        <is>
          <t>LYCKSELE</t>
        </is>
      </c>
      <c r="G504" t="n">
        <v>2.5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32863-2023</t>
        </is>
      </c>
      <c r="B505" s="1" t="n">
        <v>45124</v>
      </c>
      <c r="C505" s="1" t="n">
        <v>45952</v>
      </c>
      <c r="D505" t="inlineStr">
        <is>
          <t>VÄSTERBOTTENS LÄN</t>
        </is>
      </c>
      <c r="E505" t="inlineStr">
        <is>
          <t>LYCKSELE</t>
        </is>
      </c>
      <c r="F505" t="inlineStr">
        <is>
          <t>Sveaskog</t>
        </is>
      </c>
      <c r="G505" t="n">
        <v>5.2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40930-2023</t>
        </is>
      </c>
      <c r="B506" s="1" t="n">
        <v>45173.4409375</v>
      </c>
      <c r="C506" s="1" t="n">
        <v>45952</v>
      </c>
      <c r="D506" t="inlineStr">
        <is>
          <t>VÄSTERBOTTENS LÄN</t>
        </is>
      </c>
      <c r="E506" t="inlineStr">
        <is>
          <t>LYCKSELE</t>
        </is>
      </c>
      <c r="F506" t="inlineStr">
        <is>
          <t>Holmen skog AB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60723-2022</t>
        </is>
      </c>
      <c r="B507" s="1" t="n">
        <v>44913.44049768519</v>
      </c>
      <c r="C507" s="1" t="n">
        <v>45952</v>
      </c>
      <c r="D507" t="inlineStr">
        <is>
          <t>VÄSTERBOTTENS LÄN</t>
        </is>
      </c>
      <c r="E507" t="inlineStr">
        <is>
          <t>LYCKSELE</t>
        </is>
      </c>
      <c r="G507" t="n">
        <v>14.9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24377-2024</t>
        </is>
      </c>
      <c r="B508" s="1" t="n">
        <v>45457.61990740741</v>
      </c>
      <c r="C508" s="1" t="n">
        <v>45952</v>
      </c>
      <c r="D508" t="inlineStr">
        <is>
          <t>VÄSTERBOTTENS LÄN</t>
        </is>
      </c>
      <c r="E508" t="inlineStr">
        <is>
          <t>LYCKSELE</t>
        </is>
      </c>
      <c r="F508" t="inlineStr">
        <is>
          <t>Holmen skog AB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43302-2024</t>
        </is>
      </c>
      <c r="B509" s="1" t="n">
        <v>45568.43364583333</v>
      </c>
      <c r="C509" s="1" t="n">
        <v>45952</v>
      </c>
      <c r="D509" t="inlineStr">
        <is>
          <t>VÄSTERBOTTENS LÄN</t>
        </is>
      </c>
      <c r="E509" t="inlineStr">
        <is>
          <t>LYCKSELE</t>
        </is>
      </c>
      <c r="F509" t="inlineStr">
        <is>
          <t>Sveaskog</t>
        </is>
      </c>
      <c r="G509" t="n">
        <v>58.3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61891-2024</t>
        </is>
      </c>
      <c r="B510" s="1" t="n">
        <v>45652.73207175926</v>
      </c>
      <c r="C510" s="1" t="n">
        <v>45952</v>
      </c>
      <c r="D510" t="inlineStr">
        <is>
          <t>VÄSTERBOTTENS LÄN</t>
        </is>
      </c>
      <c r="E510" t="inlineStr">
        <is>
          <t>LYCKSELE</t>
        </is>
      </c>
      <c r="G510" t="n">
        <v>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47095-2024</t>
        </is>
      </c>
      <c r="B511" s="1" t="n">
        <v>45586.52850694444</v>
      </c>
      <c r="C511" s="1" t="n">
        <v>45952</v>
      </c>
      <c r="D511" t="inlineStr">
        <is>
          <t>VÄSTERBOTTENS LÄN</t>
        </is>
      </c>
      <c r="E511" t="inlineStr">
        <is>
          <t>LYCKSELE</t>
        </is>
      </c>
      <c r="F511" t="inlineStr">
        <is>
          <t>Naturvårdsverket</t>
        </is>
      </c>
      <c r="G511" t="n">
        <v>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64668-2023</t>
        </is>
      </c>
      <c r="B512" s="1" t="n">
        <v>45281</v>
      </c>
      <c r="C512" s="1" t="n">
        <v>45952</v>
      </c>
      <c r="D512" t="inlineStr">
        <is>
          <t>VÄSTERBOTTENS LÄN</t>
        </is>
      </c>
      <c r="E512" t="inlineStr">
        <is>
          <t>LYCKSELE</t>
        </is>
      </c>
      <c r="G512" t="n">
        <v>5.5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28833-2024</t>
        </is>
      </c>
      <c r="B513" s="1" t="n">
        <v>45478.6802662037</v>
      </c>
      <c r="C513" s="1" t="n">
        <v>45952</v>
      </c>
      <c r="D513" t="inlineStr">
        <is>
          <t>VÄSTERBOTTENS LÄN</t>
        </is>
      </c>
      <c r="E513" t="inlineStr">
        <is>
          <t>LYCKSELE</t>
        </is>
      </c>
      <c r="F513" t="inlineStr">
        <is>
          <t>Sveaskog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2109-2025</t>
        </is>
      </c>
      <c r="B514" s="1" t="n">
        <v>45672</v>
      </c>
      <c r="C514" s="1" t="n">
        <v>45952</v>
      </c>
      <c r="D514" t="inlineStr">
        <is>
          <t>VÄSTERBOTTENS LÄN</t>
        </is>
      </c>
      <c r="E514" t="inlineStr">
        <is>
          <t>LYCKSELE</t>
        </is>
      </c>
      <c r="G514" t="n">
        <v>5.6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8035-2024</t>
        </is>
      </c>
      <c r="B515" s="1" t="n">
        <v>45350.95329861111</v>
      </c>
      <c r="C515" s="1" t="n">
        <v>45952</v>
      </c>
      <c r="D515" t="inlineStr">
        <is>
          <t>VÄSTERBOTTENS LÄN</t>
        </is>
      </c>
      <c r="E515" t="inlineStr">
        <is>
          <t>LYCKSELE</t>
        </is>
      </c>
      <c r="F515" t="inlineStr">
        <is>
          <t>SCA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36274-2024</t>
        </is>
      </c>
      <c r="B516" s="1" t="n">
        <v>45534.57965277778</v>
      </c>
      <c r="C516" s="1" t="n">
        <v>45952</v>
      </c>
      <c r="D516" t="inlineStr">
        <is>
          <t>VÄSTERBOTTENS LÄN</t>
        </is>
      </c>
      <c r="E516" t="inlineStr">
        <is>
          <t>LYCKSELE</t>
        </is>
      </c>
      <c r="F516" t="inlineStr">
        <is>
          <t>Holmen skog AB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57108-2024</t>
        </is>
      </c>
      <c r="B517" s="1" t="n">
        <v>45629.36464120371</v>
      </c>
      <c r="C517" s="1" t="n">
        <v>45952</v>
      </c>
      <c r="D517" t="inlineStr">
        <is>
          <t>VÄSTERBOTTENS LÄN</t>
        </is>
      </c>
      <c r="E517" t="inlineStr">
        <is>
          <t>LYCKSELE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57109-2024</t>
        </is>
      </c>
      <c r="B518" s="1" t="n">
        <v>45629.36469907407</v>
      </c>
      <c r="C518" s="1" t="n">
        <v>45952</v>
      </c>
      <c r="D518" t="inlineStr">
        <is>
          <t>VÄSTERBOTTENS LÄN</t>
        </is>
      </c>
      <c r="E518" t="inlineStr">
        <is>
          <t>LYCKSELE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21803-2024</t>
        </is>
      </c>
      <c r="B519" s="1" t="n">
        <v>45442</v>
      </c>
      <c r="C519" s="1" t="n">
        <v>45952</v>
      </c>
      <c r="D519" t="inlineStr">
        <is>
          <t>VÄSTERBOTTENS LÄN</t>
        </is>
      </c>
      <c r="E519" t="inlineStr">
        <is>
          <t>LYCKSELE</t>
        </is>
      </c>
      <c r="F519" t="inlineStr">
        <is>
          <t>Holmen skog AB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30899-2024</t>
        </is>
      </c>
      <c r="B520" s="1" t="n">
        <v>45498.47368055556</v>
      </c>
      <c r="C520" s="1" t="n">
        <v>45952</v>
      </c>
      <c r="D520" t="inlineStr">
        <is>
          <t>VÄSTERBOTTENS LÄN</t>
        </is>
      </c>
      <c r="E520" t="inlineStr">
        <is>
          <t>LYCKSELE</t>
        </is>
      </c>
      <c r="G520" t="n">
        <v>14.4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17393-2023</t>
        </is>
      </c>
      <c r="B521" s="1" t="n">
        <v>45035</v>
      </c>
      <c r="C521" s="1" t="n">
        <v>45952</v>
      </c>
      <c r="D521" t="inlineStr">
        <is>
          <t>VÄSTERBOTTENS LÄN</t>
        </is>
      </c>
      <c r="E521" t="inlineStr">
        <is>
          <t>LYCKSELE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21109-2023</t>
        </is>
      </c>
      <c r="B522" s="1" t="n">
        <v>45061.94275462963</v>
      </c>
      <c r="C522" s="1" t="n">
        <v>45952</v>
      </c>
      <c r="D522" t="inlineStr">
        <is>
          <t>VÄSTERBOTTENS LÄN</t>
        </is>
      </c>
      <c r="E522" t="inlineStr">
        <is>
          <t>LYCKSELE</t>
        </is>
      </c>
      <c r="F522" t="inlineStr">
        <is>
          <t>SCA</t>
        </is>
      </c>
      <c r="G522" t="n">
        <v>1.4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886-2025</t>
        </is>
      </c>
      <c r="B523" s="1" t="n">
        <v>45665.64759259259</v>
      </c>
      <c r="C523" s="1" t="n">
        <v>45952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Naturvårdsverket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61161-2024</t>
        </is>
      </c>
      <c r="B524" s="1" t="n">
        <v>45645.59473379629</v>
      </c>
      <c r="C524" s="1" t="n">
        <v>45952</v>
      </c>
      <c r="D524" t="inlineStr">
        <is>
          <t>VÄSTERBOTTENS LÄN</t>
        </is>
      </c>
      <c r="E524" t="inlineStr">
        <is>
          <t>LYCKSELE</t>
        </is>
      </c>
      <c r="F524" t="inlineStr">
        <is>
          <t>SCA</t>
        </is>
      </c>
      <c r="G524" t="n">
        <v>4.4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16563-2024</t>
        </is>
      </c>
      <c r="B525" s="1" t="n">
        <v>45408</v>
      </c>
      <c r="C525" s="1" t="n">
        <v>45952</v>
      </c>
      <c r="D525" t="inlineStr">
        <is>
          <t>VÄSTERBOTTENS LÄN</t>
        </is>
      </c>
      <c r="E525" t="inlineStr">
        <is>
          <t>LYCKSELE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6942-2025</t>
        </is>
      </c>
      <c r="B526" s="1" t="n">
        <v>45701</v>
      </c>
      <c r="C526" s="1" t="n">
        <v>45952</v>
      </c>
      <c r="D526" t="inlineStr">
        <is>
          <t>VÄSTERBOTTENS LÄN</t>
        </is>
      </c>
      <c r="E526" t="inlineStr">
        <is>
          <t>LYCKSELE</t>
        </is>
      </c>
      <c r="G526" t="n">
        <v>6.1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34060-2023</t>
        </is>
      </c>
      <c r="B527" s="1" t="n">
        <v>45135</v>
      </c>
      <c r="C527" s="1" t="n">
        <v>45952</v>
      </c>
      <c r="D527" t="inlineStr">
        <is>
          <t>VÄSTERBOTTENS LÄN</t>
        </is>
      </c>
      <c r="E527" t="inlineStr">
        <is>
          <t>LYCKSELE</t>
        </is>
      </c>
      <c r="F527" t="inlineStr">
        <is>
          <t>Holmen skog AB</t>
        </is>
      </c>
      <c r="G527" t="n">
        <v>5.5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51406-2024</t>
        </is>
      </c>
      <c r="B528" s="1" t="n">
        <v>45604.42814814814</v>
      </c>
      <c r="C528" s="1" t="n">
        <v>45952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SCA</t>
        </is>
      </c>
      <c r="G528" t="n">
        <v>8.199999999999999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46945-2025</t>
        </is>
      </c>
      <c r="B529" s="1" t="n">
        <v>45929.46075231482</v>
      </c>
      <c r="C529" s="1" t="n">
        <v>45952</v>
      </c>
      <c r="D529" t="inlineStr">
        <is>
          <t>VÄSTERBOTTENS LÄN</t>
        </is>
      </c>
      <c r="E529" t="inlineStr">
        <is>
          <t>LYCKSELE</t>
        </is>
      </c>
      <c r="F529" t="inlineStr">
        <is>
          <t>Holmen skog AB</t>
        </is>
      </c>
      <c r="G529" t="n">
        <v>9.6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20958-2025</t>
        </is>
      </c>
      <c r="B530" s="1" t="n">
        <v>45777.44641203704</v>
      </c>
      <c r="C530" s="1" t="n">
        <v>45952</v>
      </c>
      <c r="D530" t="inlineStr">
        <is>
          <t>VÄSTERBOTTENS LÄN</t>
        </is>
      </c>
      <c r="E530" t="inlineStr">
        <is>
          <t>LYCKSELE</t>
        </is>
      </c>
      <c r="F530" t="inlineStr">
        <is>
          <t>Sveaskog</t>
        </is>
      </c>
      <c r="G530" t="n">
        <v>31.1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20685-2025</t>
        </is>
      </c>
      <c r="B531" s="1" t="n">
        <v>45776.45245370371</v>
      </c>
      <c r="C531" s="1" t="n">
        <v>45952</v>
      </c>
      <c r="D531" t="inlineStr">
        <is>
          <t>VÄSTERBOTTENS LÄN</t>
        </is>
      </c>
      <c r="E531" t="inlineStr">
        <is>
          <t>LYCKSELE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6684-2023</t>
        </is>
      </c>
      <c r="B532" s="1" t="n">
        <v>44963</v>
      </c>
      <c r="C532" s="1" t="n">
        <v>45952</v>
      </c>
      <c r="D532" t="inlineStr">
        <is>
          <t>VÄSTERBOTTENS LÄN</t>
        </is>
      </c>
      <c r="E532" t="inlineStr">
        <is>
          <t>LYCKSELE</t>
        </is>
      </c>
      <c r="G532" t="n">
        <v>2.7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49631-2023</t>
        </is>
      </c>
      <c r="B533" s="1" t="n">
        <v>45211</v>
      </c>
      <c r="C533" s="1" t="n">
        <v>45952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Kommuner</t>
        </is>
      </c>
      <c r="G533" t="n">
        <v>0.1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526-2022</t>
        </is>
      </c>
      <c r="B534" s="1" t="n">
        <v>44566</v>
      </c>
      <c r="C534" s="1" t="n">
        <v>45952</v>
      </c>
      <c r="D534" t="inlineStr">
        <is>
          <t>VÄSTERBOTTENS LÄN</t>
        </is>
      </c>
      <c r="E534" t="inlineStr">
        <is>
          <t>LYCKSELE</t>
        </is>
      </c>
      <c r="G534" t="n">
        <v>5.5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38478-2024</t>
        </is>
      </c>
      <c r="B535" s="1" t="n">
        <v>45546</v>
      </c>
      <c r="C535" s="1" t="n">
        <v>45952</v>
      </c>
      <c r="D535" t="inlineStr">
        <is>
          <t>VÄSTERBOTTENS LÄN</t>
        </is>
      </c>
      <c r="E535" t="inlineStr">
        <is>
          <t>LYCKSELE</t>
        </is>
      </c>
      <c r="G535" t="n">
        <v>0.1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18156-2023</t>
        </is>
      </c>
      <c r="B536" s="1" t="n">
        <v>45040</v>
      </c>
      <c r="C536" s="1" t="n">
        <v>45952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22.9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27671-2024</t>
        </is>
      </c>
      <c r="B537" s="1" t="n">
        <v>45474.95578703703</v>
      </c>
      <c r="C537" s="1" t="n">
        <v>45952</v>
      </c>
      <c r="D537" t="inlineStr">
        <is>
          <t>VÄSTERBOTTENS LÄN</t>
        </is>
      </c>
      <c r="E537" t="inlineStr">
        <is>
          <t>LYCKSELE</t>
        </is>
      </c>
      <c r="F537" t="inlineStr">
        <is>
          <t>Naturvårdsverket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37508-2024</t>
        </is>
      </c>
      <c r="B538" s="1" t="n">
        <v>45541.38083333334</v>
      </c>
      <c r="C538" s="1" t="n">
        <v>45952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Holmen skog AB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46176-2023</t>
        </is>
      </c>
      <c r="B539" s="1" t="n">
        <v>45196.60607638889</v>
      </c>
      <c r="C539" s="1" t="n">
        <v>45952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Sveaskog</t>
        </is>
      </c>
      <c r="G539" t="n">
        <v>5.5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37817-2024</t>
        </is>
      </c>
      <c r="B540" s="1" t="n">
        <v>45544</v>
      </c>
      <c r="C540" s="1" t="n">
        <v>45952</v>
      </c>
      <c r="D540" t="inlineStr">
        <is>
          <t>VÄSTERBOTTENS LÄN</t>
        </is>
      </c>
      <c r="E540" t="inlineStr">
        <is>
          <t>LYCKSELE</t>
        </is>
      </c>
      <c r="G540" t="n">
        <v>12.3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37950-2024</t>
        </is>
      </c>
      <c r="B541" s="1" t="n">
        <v>45544.51636574074</v>
      </c>
      <c r="C541" s="1" t="n">
        <v>45952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Sveaskog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26483-2024</t>
        </is>
      </c>
      <c r="B542" s="1" t="n">
        <v>45469.55527777778</v>
      </c>
      <c r="C542" s="1" t="n">
        <v>45952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Sveaskog</t>
        </is>
      </c>
      <c r="G542" t="n">
        <v>0.2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58553-2023</t>
        </is>
      </c>
      <c r="B543" s="1" t="n">
        <v>45251</v>
      </c>
      <c r="C543" s="1" t="n">
        <v>45952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Sveaskog</t>
        </is>
      </c>
      <c r="G543" t="n">
        <v>1.9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54778-2024</t>
        </is>
      </c>
      <c r="B544" s="1" t="n">
        <v>45618</v>
      </c>
      <c r="C544" s="1" t="n">
        <v>45952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Sveaskog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4215-2025</t>
        </is>
      </c>
      <c r="B545" s="1" t="n">
        <v>45685.49891203704</v>
      </c>
      <c r="C545" s="1" t="n">
        <v>45952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Sveaskog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25020-2024</t>
        </is>
      </c>
      <c r="B546" s="1" t="n">
        <v>45461.9625</v>
      </c>
      <c r="C546" s="1" t="n">
        <v>45952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SCA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47182-2024</t>
        </is>
      </c>
      <c r="B547" s="1" t="n">
        <v>45586</v>
      </c>
      <c r="C547" s="1" t="n">
        <v>45952</v>
      </c>
      <c r="D547" t="inlineStr">
        <is>
          <t>VÄSTERBOTTENS LÄN</t>
        </is>
      </c>
      <c r="E547" t="inlineStr">
        <is>
          <t>LYCKSELE</t>
        </is>
      </c>
      <c r="F547" t="inlineStr">
        <is>
          <t>Sveaskog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45366-2024</t>
        </is>
      </c>
      <c r="B548" s="1" t="n">
        <v>45576.48979166667</v>
      </c>
      <c r="C548" s="1" t="n">
        <v>45952</v>
      </c>
      <c r="D548" t="inlineStr">
        <is>
          <t>VÄSTERBOTTENS LÄN</t>
        </is>
      </c>
      <c r="E548" t="inlineStr">
        <is>
          <t>LYCKSELE</t>
        </is>
      </c>
      <c r="F548" t="inlineStr">
        <is>
          <t>Sveaskog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31453-2024</t>
        </is>
      </c>
      <c r="B549" s="1" t="n">
        <v>45505.9484837963</v>
      </c>
      <c r="C549" s="1" t="n">
        <v>45952</v>
      </c>
      <c r="D549" t="inlineStr">
        <is>
          <t>VÄSTERBOTTENS LÄN</t>
        </is>
      </c>
      <c r="E549" t="inlineStr">
        <is>
          <t>LYCKSELE</t>
        </is>
      </c>
      <c r="F549" t="inlineStr">
        <is>
          <t>SCA</t>
        </is>
      </c>
      <c r="G549" t="n">
        <v>8.300000000000001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56603-2024</t>
        </is>
      </c>
      <c r="B550" s="1" t="n">
        <v>45625.63980324074</v>
      </c>
      <c r="C550" s="1" t="n">
        <v>45952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Holmen skog AB</t>
        </is>
      </c>
      <c r="G550" t="n">
        <v>17.1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7499-2025</t>
        </is>
      </c>
      <c r="B551" s="1" t="n">
        <v>45705.49078703704</v>
      </c>
      <c r="C551" s="1" t="n">
        <v>45952</v>
      </c>
      <c r="D551" t="inlineStr">
        <is>
          <t>VÄSTERBOTTENS LÄN</t>
        </is>
      </c>
      <c r="E551" t="inlineStr">
        <is>
          <t>LYCKSELE</t>
        </is>
      </c>
      <c r="G551" t="n">
        <v>5.6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4625-2024</t>
        </is>
      </c>
      <c r="B552" s="1" t="n">
        <v>45328</v>
      </c>
      <c r="C552" s="1" t="n">
        <v>45952</v>
      </c>
      <c r="D552" t="inlineStr">
        <is>
          <t>VÄSTERBOTTENS LÄN</t>
        </is>
      </c>
      <c r="E552" t="inlineStr">
        <is>
          <t>LYCKSELE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51957-2023</t>
        </is>
      </c>
      <c r="B553" s="1" t="n">
        <v>45223</v>
      </c>
      <c r="C553" s="1" t="n">
        <v>45952</v>
      </c>
      <c r="D553" t="inlineStr">
        <is>
          <t>VÄSTERBOTTENS LÄN</t>
        </is>
      </c>
      <c r="E553" t="inlineStr">
        <is>
          <t>LYCKSELE</t>
        </is>
      </c>
      <c r="F553" t="inlineStr">
        <is>
          <t>Sveaskog</t>
        </is>
      </c>
      <c r="G553" t="n">
        <v>3.2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40908-2024</t>
        </is>
      </c>
      <c r="B554" s="1" t="n">
        <v>45558.62386574074</v>
      </c>
      <c r="C554" s="1" t="n">
        <v>45952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Sveaskog</t>
        </is>
      </c>
      <c r="G554" t="n">
        <v>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40912-2024</t>
        </is>
      </c>
      <c r="B555" s="1" t="n">
        <v>45558.62707175926</v>
      </c>
      <c r="C555" s="1" t="n">
        <v>45952</v>
      </c>
      <c r="D555" t="inlineStr">
        <is>
          <t>VÄSTERBOTTENS LÄN</t>
        </is>
      </c>
      <c r="E555" t="inlineStr">
        <is>
          <t>LYCKSELE</t>
        </is>
      </c>
      <c r="F555" t="inlineStr">
        <is>
          <t>Sveaskog</t>
        </is>
      </c>
      <c r="G555" t="n">
        <v>11.1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53241-2022</t>
        </is>
      </c>
      <c r="B556" s="1" t="n">
        <v>44876</v>
      </c>
      <c r="C556" s="1" t="n">
        <v>45952</v>
      </c>
      <c r="D556" t="inlineStr">
        <is>
          <t>VÄSTERBOTTENS LÄN</t>
        </is>
      </c>
      <c r="E556" t="inlineStr">
        <is>
          <t>LYCKSELE</t>
        </is>
      </c>
      <c r="F556" t="inlineStr">
        <is>
          <t>Holmen skog AB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9517-2025</t>
        </is>
      </c>
      <c r="B557" s="1" t="n">
        <v>45715.55240740741</v>
      </c>
      <c r="C557" s="1" t="n">
        <v>45952</v>
      </c>
      <c r="D557" t="inlineStr">
        <is>
          <t>VÄSTERBOTTENS LÄN</t>
        </is>
      </c>
      <c r="E557" t="inlineStr">
        <is>
          <t>LYCKSELE</t>
        </is>
      </c>
      <c r="F557" t="inlineStr">
        <is>
          <t>SCA</t>
        </is>
      </c>
      <c r="G557" t="n">
        <v>4.5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62586-2022</t>
        </is>
      </c>
      <c r="B558" s="1" t="n">
        <v>44924.94077546296</v>
      </c>
      <c r="C558" s="1" t="n">
        <v>45952</v>
      </c>
      <c r="D558" t="inlineStr">
        <is>
          <t>VÄSTERBOTTENS LÄN</t>
        </is>
      </c>
      <c r="E558" t="inlineStr">
        <is>
          <t>LYCKSELE</t>
        </is>
      </c>
      <c r="F558" t="inlineStr">
        <is>
          <t>SCA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21046-2025</t>
        </is>
      </c>
      <c r="B559" s="1" t="n">
        <v>45777.55637731482</v>
      </c>
      <c r="C559" s="1" t="n">
        <v>45952</v>
      </c>
      <c r="D559" t="inlineStr">
        <is>
          <t>VÄSTERBOTTENS LÄN</t>
        </is>
      </c>
      <c r="E559" t="inlineStr">
        <is>
          <t>LYCKSELE</t>
        </is>
      </c>
      <c r="F559" t="inlineStr">
        <is>
          <t>Holmen skog AB</t>
        </is>
      </c>
      <c r="G559" t="n">
        <v>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61131-2022</t>
        </is>
      </c>
      <c r="B560" s="1" t="n">
        <v>44915.44746527778</v>
      </c>
      <c r="C560" s="1" t="n">
        <v>45952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Sveaskog</t>
        </is>
      </c>
      <c r="G560" t="n">
        <v>5.1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61281-2022</t>
        </is>
      </c>
      <c r="B561" s="1" t="n">
        <v>44909</v>
      </c>
      <c r="C561" s="1" t="n">
        <v>45952</v>
      </c>
      <c r="D561" t="inlineStr">
        <is>
          <t>VÄSTERBOTTENS LÄN</t>
        </is>
      </c>
      <c r="E561" t="inlineStr">
        <is>
          <t>LYCKSELE</t>
        </is>
      </c>
      <c r="G561" t="n">
        <v>0.2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3546-2024</t>
        </is>
      </c>
      <c r="B562" s="1" t="n">
        <v>45320</v>
      </c>
      <c r="C562" s="1" t="n">
        <v>45952</v>
      </c>
      <c r="D562" t="inlineStr">
        <is>
          <t>VÄSTERBOTTENS LÄN</t>
        </is>
      </c>
      <c r="E562" t="inlineStr">
        <is>
          <t>LYCKSELE</t>
        </is>
      </c>
      <c r="G562" t="n">
        <v>4.2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49514-2022</t>
        </is>
      </c>
      <c r="B563" s="1" t="n">
        <v>44861</v>
      </c>
      <c r="C563" s="1" t="n">
        <v>45952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SCA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20979-2025</t>
        </is>
      </c>
      <c r="B564" s="1" t="n">
        <v>45777.46550925926</v>
      </c>
      <c r="C564" s="1" t="n">
        <v>45952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Sveaskog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21171-2025</t>
        </is>
      </c>
      <c r="B565" s="1" t="n">
        <v>45779.42604166667</v>
      </c>
      <c r="C565" s="1" t="n">
        <v>45952</v>
      </c>
      <c r="D565" t="inlineStr">
        <is>
          <t>VÄSTERBOTTENS LÄN</t>
        </is>
      </c>
      <c r="E565" t="inlineStr">
        <is>
          <t>LYCKSELE</t>
        </is>
      </c>
      <c r="F565" t="inlineStr">
        <is>
          <t>Sveaskog</t>
        </is>
      </c>
      <c r="G565" t="n">
        <v>4.9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21195-2025</t>
        </is>
      </c>
      <c r="B566" s="1" t="n">
        <v>45779.46914351852</v>
      </c>
      <c r="C566" s="1" t="n">
        <v>45952</v>
      </c>
      <c r="D566" t="inlineStr">
        <is>
          <t>VÄSTERBOTTENS LÄN</t>
        </is>
      </c>
      <c r="E566" t="inlineStr">
        <is>
          <t>LYCKSELE</t>
        </is>
      </c>
      <c r="F566" t="inlineStr">
        <is>
          <t>SCA</t>
        </is>
      </c>
      <c r="G566" t="n">
        <v>6.5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21266-2025</t>
        </is>
      </c>
      <c r="B567" s="1" t="n">
        <v>45779.61503472222</v>
      </c>
      <c r="C567" s="1" t="n">
        <v>45952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SCA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21289-2025</t>
        </is>
      </c>
      <c r="B568" s="1" t="n">
        <v>45779</v>
      </c>
      <c r="C568" s="1" t="n">
        <v>45952</v>
      </c>
      <c r="D568" t="inlineStr">
        <is>
          <t>VÄSTERBOTTENS LÄN</t>
        </is>
      </c>
      <c r="E568" t="inlineStr">
        <is>
          <t>LYCKSELE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64663-2023</t>
        </is>
      </c>
      <c r="B569" s="1" t="n">
        <v>45281</v>
      </c>
      <c r="C569" s="1" t="n">
        <v>45952</v>
      </c>
      <c r="D569" t="inlineStr">
        <is>
          <t>VÄSTERBOTTENS LÄN</t>
        </is>
      </c>
      <c r="E569" t="inlineStr">
        <is>
          <t>LYCKSELE</t>
        </is>
      </c>
      <c r="G569" t="n">
        <v>1.8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21374-2025</t>
        </is>
      </c>
      <c r="B570" s="1" t="n">
        <v>45782.44893518519</v>
      </c>
      <c r="C570" s="1" t="n">
        <v>45952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SCA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21727-2025</t>
        </is>
      </c>
      <c r="B571" s="1" t="n">
        <v>45783.57331018519</v>
      </c>
      <c r="C571" s="1" t="n">
        <v>45952</v>
      </c>
      <c r="D571" t="inlineStr">
        <is>
          <t>VÄSTERBOTTENS LÄN</t>
        </is>
      </c>
      <c r="E571" t="inlineStr">
        <is>
          <t>LYCKSELE</t>
        </is>
      </c>
      <c r="F571" t="inlineStr">
        <is>
          <t>SCA</t>
        </is>
      </c>
      <c r="G571" t="n">
        <v>5.4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44588-2024</t>
        </is>
      </c>
      <c r="B572" s="1" t="n">
        <v>45574.5038425926</v>
      </c>
      <c r="C572" s="1" t="n">
        <v>45952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Sveaskog</t>
        </is>
      </c>
      <c r="G572" t="n">
        <v>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31965-2025</t>
        </is>
      </c>
      <c r="B573" s="1" t="n">
        <v>45835.34505787037</v>
      </c>
      <c r="C573" s="1" t="n">
        <v>45952</v>
      </c>
      <c r="D573" t="inlineStr">
        <is>
          <t>VÄSTERBOTTENS LÄN</t>
        </is>
      </c>
      <c r="E573" t="inlineStr">
        <is>
          <t>LYCKSELE</t>
        </is>
      </c>
      <c r="G573" t="n">
        <v>4.3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39162-2025</t>
        </is>
      </c>
      <c r="B574" s="1" t="n">
        <v>45888.63608796296</v>
      </c>
      <c r="C574" s="1" t="n">
        <v>45952</v>
      </c>
      <c r="D574" t="inlineStr">
        <is>
          <t>VÄSTERBOTTENS LÄN</t>
        </is>
      </c>
      <c r="E574" t="inlineStr">
        <is>
          <t>LYCKSELE</t>
        </is>
      </c>
      <c r="F574" t="inlineStr">
        <is>
          <t>SCA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39432-2025</t>
        </is>
      </c>
      <c r="B575" s="1" t="n">
        <v>45889.67777777778</v>
      </c>
      <c r="C575" s="1" t="n">
        <v>45952</v>
      </c>
      <c r="D575" t="inlineStr">
        <is>
          <t>VÄSTERBOTTENS LÄN</t>
        </is>
      </c>
      <c r="E575" t="inlineStr">
        <is>
          <t>LYCKSELE</t>
        </is>
      </c>
      <c r="F575" t="inlineStr">
        <is>
          <t>SCA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39436-2025</t>
        </is>
      </c>
      <c r="B576" s="1" t="n">
        <v>45889.67865740741</v>
      </c>
      <c r="C576" s="1" t="n">
        <v>45952</v>
      </c>
      <c r="D576" t="inlineStr">
        <is>
          <t>VÄSTERBOTTENS LÄN</t>
        </is>
      </c>
      <c r="E576" t="inlineStr">
        <is>
          <t>LYCKSELE</t>
        </is>
      </c>
      <c r="F576" t="inlineStr">
        <is>
          <t>SCA</t>
        </is>
      </c>
      <c r="G576" t="n">
        <v>13.5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21888-2025</t>
        </is>
      </c>
      <c r="B577" s="1" t="n">
        <v>45784.43131944445</v>
      </c>
      <c r="C577" s="1" t="n">
        <v>45952</v>
      </c>
      <c r="D577" t="inlineStr">
        <is>
          <t>VÄSTERBOTTENS LÄN</t>
        </is>
      </c>
      <c r="E577" t="inlineStr">
        <is>
          <t>LYCKSELE</t>
        </is>
      </c>
      <c r="F577" t="inlineStr">
        <is>
          <t>Holmen skog AB</t>
        </is>
      </c>
      <c r="G577" t="n">
        <v>4.4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47456-2025</t>
        </is>
      </c>
      <c r="B578" s="1" t="n">
        <v>45930.65547453704</v>
      </c>
      <c r="C578" s="1" t="n">
        <v>45952</v>
      </c>
      <c r="D578" t="inlineStr">
        <is>
          <t>VÄSTERBOTTENS LÄN</t>
        </is>
      </c>
      <c r="E578" t="inlineStr">
        <is>
          <t>LYCKSELE</t>
        </is>
      </c>
      <c r="F578" t="inlineStr">
        <is>
          <t>Sveaskog</t>
        </is>
      </c>
      <c r="G578" t="n">
        <v>4.3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47459-2025</t>
        </is>
      </c>
      <c r="B579" s="1" t="n">
        <v>45930.65832175926</v>
      </c>
      <c r="C579" s="1" t="n">
        <v>45952</v>
      </c>
      <c r="D579" t="inlineStr">
        <is>
          <t>VÄSTERBOTTENS LÄN</t>
        </is>
      </c>
      <c r="E579" t="inlineStr">
        <is>
          <t>LYCKSELE</t>
        </is>
      </c>
      <c r="F579" t="inlineStr">
        <is>
          <t>Sveaskog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8596-2025</t>
        </is>
      </c>
      <c r="B580" s="1" t="n">
        <v>45709.73266203704</v>
      </c>
      <c r="C580" s="1" t="n">
        <v>45952</v>
      </c>
      <c r="D580" t="inlineStr">
        <is>
          <t>VÄSTERBOTTENS LÄN</t>
        </is>
      </c>
      <c r="E580" t="inlineStr">
        <is>
          <t>LYCKSELE</t>
        </is>
      </c>
      <c r="G580" t="n">
        <v>10.5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39435-2025</t>
        </is>
      </c>
      <c r="B581" s="1" t="n">
        <v>45889.67834490741</v>
      </c>
      <c r="C581" s="1" t="n">
        <v>45952</v>
      </c>
      <c r="D581" t="inlineStr">
        <is>
          <t>VÄSTERBOTTENS LÄN</t>
        </is>
      </c>
      <c r="E581" t="inlineStr">
        <is>
          <t>LYCKSELE</t>
        </is>
      </c>
      <c r="F581" t="inlineStr">
        <is>
          <t>SCA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26396-2022</t>
        </is>
      </c>
      <c r="B582" s="1" t="n">
        <v>44735</v>
      </c>
      <c r="C582" s="1" t="n">
        <v>45952</v>
      </c>
      <c r="D582" t="inlineStr">
        <is>
          <t>VÄSTERBOTTENS LÄN</t>
        </is>
      </c>
      <c r="E582" t="inlineStr">
        <is>
          <t>LYCKSELE</t>
        </is>
      </c>
      <c r="G582" t="n">
        <v>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54234-2023</t>
        </is>
      </c>
      <c r="B583" s="1" t="n">
        <v>45232.60467592593</v>
      </c>
      <c r="C583" s="1" t="n">
        <v>45952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Holmen skog AB</t>
        </is>
      </c>
      <c r="G583" t="n">
        <v>4.2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59209-2024</t>
        </is>
      </c>
      <c r="B584" s="1" t="n">
        <v>45637.55984953704</v>
      </c>
      <c r="C584" s="1" t="n">
        <v>45952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Sveaskog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22229-2025</t>
        </is>
      </c>
      <c r="B585" s="1" t="n">
        <v>45785.66422453704</v>
      </c>
      <c r="C585" s="1" t="n">
        <v>45952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Holmen skog AB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22107-2025</t>
        </is>
      </c>
      <c r="B586" s="1" t="n">
        <v>45785.49008101852</v>
      </c>
      <c r="C586" s="1" t="n">
        <v>45952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SCA</t>
        </is>
      </c>
      <c r="G586" t="n">
        <v>8.4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14795-2025</t>
        </is>
      </c>
      <c r="B587" s="1" t="n">
        <v>45742.87837962963</v>
      </c>
      <c r="C587" s="1" t="n">
        <v>45952</v>
      </c>
      <c r="D587" t="inlineStr">
        <is>
          <t>VÄSTERBOTTENS LÄN</t>
        </is>
      </c>
      <c r="E587" t="inlineStr">
        <is>
          <t>LYCKSELE</t>
        </is>
      </c>
      <c r="G587" t="n">
        <v>3.6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39135-2025</t>
        </is>
      </c>
      <c r="B588" s="1" t="n">
        <v>45888.59356481482</v>
      </c>
      <c r="C588" s="1" t="n">
        <v>45952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Sveaskog</t>
        </is>
      </c>
      <c r="G588" t="n">
        <v>12.7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8941-2025</t>
        </is>
      </c>
      <c r="B589" s="1" t="n">
        <v>45713.44863425926</v>
      </c>
      <c r="C589" s="1" t="n">
        <v>45952</v>
      </c>
      <c r="D589" t="inlineStr">
        <is>
          <t>VÄSTERBOTTENS LÄN</t>
        </is>
      </c>
      <c r="E589" t="inlineStr">
        <is>
          <t>LYCKSELE</t>
        </is>
      </c>
      <c r="G589" t="n">
        <v>3.7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54697-2024</t>
        </is>
      </c>
      <c r="B590" s="1" t="n">
        <v>45618.40399305556</v>
      </c>
      <c r="C590" s="1" t="n">
        <v>45952</v>
      </c>
      <c r="D590" t="inlineStr">
        <is>
          <t>VÄSTERBOTTENS LÄN</t>
        </is>
      </c>
      <c r="E590" t="inlineStr">
        <is>
          <t>LYCKSELE</t>
        </is>
      </c>
      <c r="F590" t="inlineStr">
        <is>
          <t>Sveaskog</t>
        </is>
      </c>
      <c r="G590" t="n">
        <v>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22127-2025</t>
        </is>
      </c>
      <c r="B591" s="1" t="n">
        <v>45785.53003472222</v>
      </c>
      <c r="C591" s="1" t="n">
        <v>45952</v>
      </c>
      <c r="D591" t="inlineStr">
        <is>
          <t>VÄSTERBOTTENS LÄN</t>
        </is>
      </c>
      <c r="E591" t="inlineStr">
        <is>
          <t>LYCKSELE</t>
        </is>
      </c>
      <c r="F591" t="inlineStr">
        <is>
          <t>Sveaskog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39242-2025</t>
        </is>
      </c>
      <c r="B592" s="1" t="n">
        <v>45889.34109953704</v>
      </c>
      <c r="C592" s="1" t="n">
        <v>45952</v>
      </c>
      <c r="D592" t="inlineStr">
        <is>
          <t>VÄSTERBOTTENS LÄN</t>
        </is>
      </c>
      <c r="E592" t="inlineStr">
        <is>
          <t>LYCKSELE</t>
        </is>
      </c>
      <c r="F592" t="inlineStr">
        <is>
          <t>Sveaskog</t>
        </is>
      </c>
      <c r="G592" t="n">
        <v>5.7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39239-2025</t>
        </is>
      </c>
      <c r="B593" s="1" t="n">
        <v>45889.33643518519</v>
      </c>
      <c r="C593" s="1" t="n">
        <v>45952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Sveaskog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36267-2023</t>
        </is>
      </c>
      <c r="B594" s="1" t="n">
        <v>45151.94417824074</v>
      </c>
      <c r="C594" s="1" t="n">
        <v>45952</v>
      </c>
      <c r="D594" t="inlineStr">
        <is>
          <t>VÄSTERBOTTENS LÄN</t>
        </is>
      </c>
      <c r="E594" t="inlineStr">
        <is>
          <t>LYCKSELE</t>
        </is>
      </c>
      <c r="F594" t="inlineStr">
        <is>
          <t>SCA</t>
        </is>
      </c>
      <c r="G594" t="n">
        <v>3.5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39143-2025</t>
        </is>
      </c>
      <c r="B595" s="1" t="n">
        <v>45888.59829861111</v>
      </c>
      <c r="C595" s="1" t="n">
        <v>45952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Sveaskog</t>
        </is>
      </c>
      <c r="G595" t="n">
        <v>3.6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31466-2021</t>
        </is>
      </c>
      <c r="B596" s="1" t="n">
        <v>44369</v>
      </c>
      <c r="C596" s="1" t="n">
        <v>45952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Sveaskog</t>
        </is>
      </c>
      <c r="G596" t="n">
        <v>18.3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28890-2024</t>
        </is>
      </c>
      <c r="B597" s="1" t="n">
        <v>45479.94907407407</v>
      </c>
      <c r="C597" s="1" t="n">
        <v>45952</v>
      </c>
      <c r="D597" t="inlineStr">
        <is>
          <t>VÄSTERBOTTENS LÄN</t>
        </is>
      </c>
      <c r="E597" t="inlineStr">
        <is>
          <t>LYCKSELE</t>
        </is>
      </c>
      <c r="F597" t="inlineStr">
        <is>
          <t>SCA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28892-2024</t>
        </is>
      </c>
      <c r="B598" s="1" t="n">
        <v>45479.94927083333</v>
      </c>
      <c r="C598" s="1" t="n">
        <v>45952</v>
      </c>
      <c r="D598" t="inlineStr">
        <is>
          <t>VÄSTERBOTTENS LÄN</t>
        </is>
      </c>
      <c r="E598" t="inlineStr">
        <is>
          <t>LYCKSELE</t>
        </is>
      </c>
      <c r="F598" t="inlineStr">
        <is>
          <t>SCA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38988-2025</t>
        </is>
      </c>
      <c r="B599" s="1" t="n">
        <v>45888.31405092592</v>
      </c>
      <c r="C599" s="1" t="n">
        <v>45952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Sveaskog</t>
        </is>
      </c>
      <c r="G599" t="n">
        <v>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21861-2025</t>
        </is>
      </c>
      <c r="B600" s="1" t="n">
        <v>45784.36506944444</v>
      </c>
      <c r="C600" s="1" t="n">
        <v>45952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SCA</t>
        </is>
      </c>
      <c r="G600" t="n">
        <v>10.5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39165-2021</t>
        </is>
      </c>
      <c r="B601" s="1" t="n">
        <v>44412</v>
      </c>
      <c r="C601" s="1" t="n">
        <v>45952</v>
      </c>
      <c r="D601" t="inlineStr">
        <is>
          <t>VÄSTERBOTTENS LÄN</t>
        </is>
      </c>
      <c r="E601" t="inlineStr">
        <is>
          <t>LYCKSELE</t>
        </is>
      </c>
      <c r="G601" t="n">
        <v>6.2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39151-2025</t>
        </is>
      </c>
      <c r="B602" s="1" t="n">
        <v>45888.60806712963</v>
      </c>
      <c r="C602" s="1" t="n">
        <v>45952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9.300000000000001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54287-2024</t>
        </is>
      </c>
      <c r="B603" s="1" t="n">
        <v>45617.26189814815</v>
      </c>
      <c r="C603" s="1" t="n">
        <v>45952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Sveaskog</t>
        </is>
      </c>
      <c r="G603" t="n">
        <v>4.1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19390-2024</t>
        </is>
      </c>
      <c r="B604" s="1" t="n">
        <v>45429.37934027778</v>
      </c>
      <c r="C604" s="1" t="n">
        <v>45952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Holmen skog AB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22759-2025</t>
        </is>
      </c>
      <c r="B605" s="1" t="n">
        <v>45789.61988425926</v>
      </c>
      <c r="C605" s="1" t="n">
        <v>45952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Sveaskog</t>
        </is>
      </c>
      <c r="G605" t="n">
        <v>25.5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22408-2025</t>
        </is>
      </c>
      <c r="B606" s="1" t="n">
        <v>45786</v>
      </c>
      <c r="C606" s="1" t="n">
        <v>45952</v>
      </c>
      <c r="D606" t="inlineStr">
        <is>
          <t>VÄSTERBOTTENS LÄN</t>
        </is>
      </c>
      <c r="E606" t="inlineStr">
        <is>
          <t>LYCKSELE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22452-2025</t>
        </is>
      </c>
      <c r="B607" s="1" t="n">
        <v>45786.60216435185</v>
      </c>
      <c r="C607" s="1" t="n">
        <v>45952</v>
      </c>
      <c r="D607" t="inlineStr">
        <is>
          <t>VÄSTERBOTTENS LÄN</t>
        </is>
      </c>
      <c r="E607" t="inlineStr">
        <is>
          <t>LYCKSELE</t>
        </is>
      </c>
      <c r="F607" t="inlineStr">
        <is>
          <t>Sveaskog</t>
        </is>
      </c>
      <c r="G607" t="n">
        <v>11.4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32474-2024</t>
        </is>
      </c>
      <c r="B608" s="1" t="n">
        <v>45513.31015046296</v>
      </c>
      <c r="C608" s="1" t="n">
        <v>45952</v>
      </c>
      <c r="D608" t="inlineStr">
        <is>
          <t>VÄSTERBOTTENS LÄN</t>
        </is>
      </c>
      <c r="E608" t="inlineStr">
        <is>
          <t>LYCKSELE</t>
        </is>
      </c>
      <c r="F608" t="inlineStr">
        <is>
          <t>Holmen skog AB</t>
        </is>
      </c>
      <c r="G608" t="n">
        <v>3.8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53011-2024</t>
        </is>
      </c>
      <c r="B609" s="1" t="n">
        <v>45611.40226851852</v>
      </c>
      <c r="C609" s="1" t="n">
        <v>45952</v>
      </c>
      <c r="D609" t="inlineStr">
        <is>
          <t>VÄSTERBOTTENS LÄN</t>
        </is>
      </c>
      <c r="E609" t="inlineStr">
        <is>
          <t>LYCKSELE</t>
        </is>
      </c>
      <c r="F609" t="inlineStr">
        <is>
          <t>Sveaskog</t>
        </is>
      </c>
      <c r="G609" t="n">
        <v>7.1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35559-2023</t>
        </is>
      </c>
      <c r="B610" s="1" t="n">
        <v>45147</v>
      </c>
      <c r="C610" s="1" t="n">
        <v>45952</v>
      </c>
      <c r="D610" t="inlineStr">
        <is>
          <t>VÄSTERBOTTENS LÄN</t>
        </is>
      </c>
      <c r="E610" t="inlineStr">
        <is>
          <t>LYCKSELE</t>
        </is>
      </c>
      <c r="G610" t="n">
        <v>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47461-2025</t>
        </is>
      </c>
      <c r="B611" s="1" t="n">
        <v>45930.66153935185</v>
      </c>
      <c r="C611" s="1" t="n">
        <v>45952</v>
      </c>
      <c r="D611" t="inlineStr">
        <is>
          <t>VÄSTERBOTTENS LÄN</t>
        </is>
      </c>
      <c r="E611" t="inlineStr">
        <is>
          <t>LYCKSELE</t>
        </is>
      </c>
      <c r="F611" t="inlineStr">
        <is>
          <t>Sveaskog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43134-2023</t>
        </is>
      </c>
      <c r="B612" s="1" t="n">
        <v>45182</v>
      </c>
      <c r="C612" s="1" t="n">
        <v>45952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SCA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56123-2024</t>
        </is>
      </c>
      <c r="B613" s="1" t="n">
        <v>45624.46928240741</v>
      </c>
      <c r="C613" s="1" t="n">
        <v>45952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SCA</t>
        </is>
      </c>
      <c r="G613" t="n">
        <v>14.7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22584-2025</t>
        </is>
      </c>
      <c r="B614" s="1" t="n">
        <v>45789</v>
      </c>
      <c r="C614" s="1" t="n">
        <v>45952</v>
      </c>
      <c r="D614" t="inlineStr">
        <is>
          <t>VÄSTERBOTTENS LÄN</t>
        </is>
      </c>
      <c r="E614" t="inlineStr">
        <is>
          <t>LYCKSELE</t>
        </is>
      </c>
      <c r="G614" t="n">
        <v>5.2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22309-2025</t>
        </is>
      </c>
      <c r="B615" s="1" t="n">
        <v>45786.36578703704</v>
      </c>
      <c r="C615" s="1" t="n">
        <v>45952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Holmen skog AB</t>
        </is>
      </c>
      <c r="G615" t="n">
        <v>3.1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22344-2025</t>
        </is>
      </c>
      <c r="B616" s="1" t="n">
        <v>45786.44856481482</v>
      </c>
      <c r="C616" s="1" t="n">
        <v>45952</v>
      </c>
      <c r="D616" t="inlineStr">
        <is>
          <t>VÄSTERBOTTENS LÄN</t>
        </is>
      </c>
      <c r="E616" t="inlineStr">
        <is>
          <t>LYCKSELE</t>
        </is>
      </c>
      <c r="F616" t="inlineStr">
        <is>
          <t>SCA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39342-2025</t>
        </is>
      </c>
      <c r="B617" s="1" t="n">
        <v>45889.52583333333</v>
      </c>
      <c r="C617" s="1" t="n">
        <v>45952</v>
      </c>
      <c r="D617" t="inlineStr">
        <is>
          <t>VÄSTERBOTTENS LÄN</t>
        </is>
      </c>
      <c r="E617" t="inlineStr">
        <is>
          <t>LYCKSELE</t>
        </is>
      </c>
      <c r="F617" t="inlineStr">
        <is>
          <t>Sveaskog</t>
        </is>
      </c>
      <c r="G617" t="n">
        <v>7.9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19765-2024</t>
        </is>
      </c>
      <c r="B618" s="1" t="n">
        <v>45432.70289351852</v>
      </c>
      <c r="C618" s="1" t="n">
        <v>45952</v>
      </c>
      <c r="D618" t="inlineStr">
        <is>
          <t>VÄSTERBOTTENS LÄN</t>
        </is>
      </c>
      <c r="E618" t="inlineStr">
        <is>
          <t>LYCKSELE</t>
        </is>
      </c>
      <c r="G618" t="n">
        <v>3.7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25170-2024</t>
        </is>
      </c>
      <c r="B619" s="1" t="n">
        <v>45462</v>
      </c>
      <c r="C619" s="1" t="n">
        <v>45952</v>
      </c>
      <c r="D619" t="inlineStr">
        <is>
          <t>VÄSTERBOTTENS LÄN</t>
        </is>
      </c>
      <c r="E619" t="inlineStr">
        <is>
          <t>LYCKSELE</t>
        </is>
      </c>
      <c r="G619" t="n">
        <v>2.4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22732-2025</t>
        </is>
      </c>
      <c r="B620" s="1" t="n">
        <v>45789.58261574074</v>
      </c>
      <c r="C620" s="1" t="n">
        <v>45952</v>
      </c>
      <c r="D620" t="inlineStr">
        <is>
          <t>VÄSTERBOTTENS LÄN</t>
        </is>
      </c>
      <c r="E620" t="inlineStr">
        <is>
          <t>LYCKSELE</t>
        </is>
      </c>
      <c r="F620" t="inlineStr">
        <is>
          <t>Sveaskog</t>
        </is>
      </c>
      <c r="G620" t="n">
        <v>29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28540-2023</t>
        </is>
      </c>
      <c r="B621" s="1" t="n">
        <v>45103.49182870371</v>
      </c>
      <c r="C621" s="1" t="n">
        <v>45952</v>
      </c>
      <c r="D621" t="inlineStr">
        <is>
          <t>VÄSTERBOTTENS LÄN</t>
        </is>
      </c>
      <c r="E621" t="inlineStr">
        <is>
          <t>LYCKSELE</t>
        </is>
      </c>
      <c r="F621" t="inlineStr">
        <is>
          <t>Sveaskog</t>
        </is>
      </c>
      <c r="G621" t="n">
        <v>6.8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39521-2025</t>
        </is>
      </c>
      <c r="B622" s="1" t="n">
        <v>45890.43667824074</v>
      </c>
      <c r="C622" s="1" t="n">
        <v>45952</v>
      </c>
      <c r="D622" t="inlineStr">
        <is>
          <t>VÄSTERBOTTENS LÄN</t>
        </is>
      </c>
      <c r="E622" t="inlineStr">
        <is>
          <t>LYCKSELE</t>
        </is>
      </c>
      <c r="F622" t="inlineStr">
        <is>
          <t>Sveaskog</t>
        </is>
      </c>
      <c r="G622" t="n">
        <v>20.2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39562-2025</t>
        </is>
      </c>
      <c r="B623" s="1" t="n">
        <v>45890.47592592592</v>
      </c>
      <c r="C623" s="1" t="n">
        <v>45952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2.3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27818-2024</t>
        </is>
      </c>
      <c r="B624" s="1" t="n">
        <v>45475.60128472222</v>
      </c>
      <c r="C624" s="1" t="n">
        <v>45952</v>
      </c>
      <c r="D624" t="inlineStr">
        <is>
          <t>VÄSTERBOTTENS LÄN</t>
        </is>
      </c>
      <c r="E624" t="inlineStr">
        <is>
          <t>LYCKSELE</t>
        </is>
      </c>
      <c r="G624" t="n">
        <v>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33699-2024</t>
        </is>
      </c>
      <c r="B625" s="1" t="n">
        <v>45520.52138888889</v>
      </c>
      <c r="C625" s="1" t="n">
        <v>45952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16.3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2193-2023</t>
        </is>
      </c>
      <c r="B626" s="1" t="n">
        <v>44942.36244212963</v>
      </c>
      <c r="C626" s="1" t="n">
        <v>45952</v>
      </c>
      <c r="D626" t="inlineStr">
        <is>
          <t>VÄSTERBOTTENS LÄN</t>
        </is>
      </c>
      <c r="E626" t="inlineStr">
        <is>
          <t>LYCKSELE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64391-2023</t>
        </is>
      </c>
      <c r="B627" s="1" t="n">
        <v>45280</v>
      </c>
      <c r="C627" s="1" t="n">
        <v>45952</v>
      </c>
      <c r="D627" t="inlineStr">
        <is>
          <t>VÄSTERBOTTENS LÄN</t>
        </is>
      </c>
      <c r="E627" t="inlineStr">
        <is>
          <t>LYCKSELE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42216-2022</t>
        </is>
      </c>
      <c r="B628" s="1" t="n">
        <v>44830</v>
      </c>
      <c r="C628" s="1" t="n">
        <v>45952</v>
      </c>
      <c r="D628" t="inlineStr">
        <is>
          <t>VÄSTERBOTTENS LÄN</t>
        </is>
      </c>
      <c r="E628" t="inlineStr">
        <is>
          <t>LYCKSELE</t>
        </is>
      </c>
      <c r="G628" t="n">
        <v>15.9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39936-2025</t>
        </is>
      </c>
      <c r="B629" s="1" t="n">
        <v>45891</v>
      </c>
      <c r="C629" s="1" t="n">
        <v>45952</v>
      </c>
      <c r="D629" t="inlineStr">
        <is>
          <t>VÄSTERBOTTENS LÄN</t>
        </is>
      </c>
      <c r="E629" t="inlineStr">
        <is>
          <t>LYCKSELE</t>
        </is>
      </c>
      <c r="G629" t="n">
        <v>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48137-2025</t>
        </is>
      </c>
      <c r="B630" s="1" t="n">
        <v>45933.3787037037</v>
      </c>
      <c r="C630" s="1" t="n">
        <v>45952</v>
      </c>
      <c r="D630" t="inlineStr">
        <is>
          <t>VÄSTERBOTTENS LÄN</t>
        </is>
      </c>
      <c r="E630" t="inlineStr">
        <is>
          <t>LYCKSELE</t>
        </is>
      </c>
      <c r="G630" t="n">
        <v>3.2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41793-2024</t>
        </is>
      </c>
      <c r="B631" s="1" t="n">
        <v>45561.35800925926</v>
      </c>
      <c r="C631" s="1" t="n">
        <v>45952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Sveaskog</t>
        </is>
      </c>
      <c r="G631" t="n">
        <v>7.1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39500-2025</t>
        </is>
      </c>
      <c r="B632" s="1" t="n">
        <v>45890</v>
      </c>
      <c r="C632" s="1" t="n">
        <v>45952</v>
      </c>
      <c r="D632" t="inlineStr">
        <is>
          <t>VÄSTERBOTTENS LÄN</t>
        </is>
      </c>
      <c r="E632" t="inlineStr">
        <is>
          <t>LYCKSELE</t>
        </is>
      </c>
      <c r="G632" t="n">
        <v>22.6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39517-2025</t>
        </is>
      </c>
      <c r="B633" s="1" t="n">
        <v>45890.42685185185</v>
      </c>
      <c r="C633" s="1" t="n">
        <v>45952</v>
      </c>
      <c r="D633" t="inlineStr">
        <is>
          <t>VÄSTERBOTTENS LÄN</t>
        </is>
      </c>
      <c r="E633" t="inlineStr">
        <is>
          <t>LYCKSELE</t>
        </is>
      </c>
      <c r="F633" t="inlineStr">
        <is>
          <t>Sveaskog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22343-2025</t>
        </is>
      </c>
      <c r="B634" s="1" t="n">
        <v>45786.44841435185</v>
      </c>
      <c r="C634" s="1" t="n">
        <v>45952</v>
      </c>
      <c r="D634" t="inlineStr">
        <is>
          <t>VÄSTERBOTTENS LÄN</t>
        </is>
      </c>
      <c r="E634" t="inlineStr">
        <is>
          <t>LYCKSELE</t>
        </is>
      </c>
      <c r="F634" t="inlineStr">
        <is>
          <t>SCA</t>
        </is>
      </c>
      <c r="G634" t="n">
        <v>4.7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11626-2024</t>
        </is>
      </c>
      <c r="B635" s="1" t="n">
        <v>45373</v>
      </c>
      <c r="C635" s="1" t="n">
        <v>45952</v>
      </c>
      <c r="D635" t="inlineStr">
        <is>
          <t>VÄSTERBOTTENS LÄN</t>
        </is>
      </c>
      <c r="E635" t="inlineStr">
        <is>
          <t>LYCKSELE</t>
        </is>
      </c>
      <c r="G635" t="n">
        <v>0.1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48140-2025</t>
        </is>
      </c>
      <c r="B636" s="1" t="n">
        <v>45933.38341435185</v>
      </c>
      <c r="C636" s="1" t="n">
        <v>45952</v>
      </c>
      <c r="D636" t="inlineStr">
        <is>
          <t>VÄSTERBOTTENS LÄN</t>
        </is>
      </c>
      <c r="E636" t="inlineStr">
        <is>
          <t>LYCKSELE</t>
        </is>
      </c>
      <c r="G636" t="n">
        <v>13.6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22720-2025</t>
        </is>
      </c>
      <c r="B637" s="1" t="n">
        <v>45789.5709375</v>
      </c>
      <c r="C637" s="1" t="n">
        <v>45952</v>
      </c>
      <c r="D637" t="inlineStr">
        <is>
          <t>VÄSTERBOTTENS LÄN</t>
        </is>
      </c>
      <c r="E637" t="inlineStr">
        <is>
          <t>LYCKSELE</t>
        </is>
      </c>
      <c r="F637" t="inlineStr">
        <is>
          <t>Sveaskog</t>
        </is>
      </c>
      <c r="G637" t="n">
        <v>29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39458-2025</t>
        </is>
      </c>
      <c r="B638" s="1" t="n">
        <v>45889.82722222222</v>
      </c>
      <c r="C638" s="1" t="n">
        <v>45952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7.8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22453-2025</t>
        </is>
      </c>
      <c r="B639" s="1" t="n">
        <v>45786.60395833333</v>
      </c>
      <c r="C639" s="1" t="n">
        <v>45952</v>
      </c>
      <c r="D639" t="inlineStr">
        <is>
          <t>VÄSTERBOTTENS LÄN</t>
        </is>
      </c>
      <c r="E639" t="inlineStr">
        <is>
          <t>LYCKSELE</t>
        </is>
      </c>
      <c r="F639" t="inlineStr">
        <is>
          <t>Sveaskog</t>
        </is>
      </c>
      <c r="G639" t="n">
        <v>5.9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22456-2025</t>
        </is>
      </c>
      <c r="B640" s="1" t="n">
        <v>45786.6059837963</v>
      </c>
      <c r="C640" s="1" t="n">
        <v>45952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12839-2022</t>
        </is>
      </c>
      <c r="B641" s="1" t="n">
        <v>44642</v>
      </c>
      <c r="C641" s="1" t="n">
        <v>45952</v>
      </c>
      <c r="D641" t="inlineStr">
        <is>
          <t>VÄSTERBOTTENS LÄN</t>
        </is>
      </c>
      <c r="E641" t="inlineStr">
        <is>
          <t>LYCKSELE</t>
        </is>
      </c>
      <c r="G641" t="n">
        <v>7.3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58684-2024</t>
        </is>
      </c>
      <c r="B642" s="1" t="n">
        <v>45635.61909722222</v>
      </c>
      <c r="C642" s="1" t="n">
        <v>45952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4.5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47700-2025</t>
        </is>
      </c>
      <c r="B643" s="1" t="n">
        <v>45931</v>
      </c>
      <c r="C643" s="1" t="n">
        <v>45952</v>
      </c>
      <c r="D643" t="inlineStr">
        <is>
          <t>VÄSTERBOTTENS LÄN</t>
        </is>
      </c>
      <c r="E643" t="inlineStr">
        <is>
          <t>LYCKSELE</t>
        </is>
      </c>
      <c r="G643" t="n">
        <v>5.6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58716-2024</t>
        </is>
      </c>
      <c r="B644" s="1" t="n">
        <v>45635.65770833333</v>
      </c>
      <c r="C644" s="1" t="n">
        <v>45952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Holmen skog AB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48165-2025</t>
        </is>
      </c>
      <c r="B645" s="1" t="n">
        <v>45933.42789351852</v>
      </c>
      <c r="C645" s="1" t="n">
        <v>45952</v>
      </c>
      <c r="D645" t="inlineStr">
        <is>
          <t>VÄSTERBOTTENS LÄN</t>
        </is>
      </c>
      <c r="E645" t="inlineStr">
        <is>
          <t>LYCKSELE</t>
        </is>
      </c>
      <c r="G645" t="n">
        <v>10.4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18365-2023</t>
        </is>
      </c>
      <c r="B646" s="1" t="n">
        <v>45041</v>
      </c>
      <c r="C646" s="1" t="n">
        <v>45952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SCA</t>
        </is>
      </c>
      <c r="G646" t="n">
        <v>22.4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16669-2022</t>
        </is>
      </c>
      <c r="B647" s="1" t="n">
        <v>44672.92575231481</v>
      </c>
      <c r="C647" s="1" t="n">
        <v>45952</v>
      </c>
      <c r="D647" t="inlineStr">
        <is>
          <t>VÄSTERBOTTENS LÄN</t>
        </is>
      </c>
      <c r="E647" t="inlineStr">
        <is>
          <t>LYCKSELE</t>
        </is>
      </c>
      <c r="G647" t="n">
        <v>12.8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39482-2025</t>
        </is>
      </c>
      <c r="B648" s="1" t="n">
        <v>45890.35861111111</v>
      </c>
      <c r="C648" s="1" t="n">
        <v>45952</v>
      </c>
      <c r="D648" t="inlineStr">
        <is>
          <t>VÄSTERBOTTENS LÄN</t>
        </is>
      </c>
      <c r="E648" t="inlineStr">
        <is>
          <t>LYCKSELE</t>
        </is>
      </c>
      <c r="F648" t="inlineStr">
        <is>
          <t>Sveaskog</t>
        </is>
      </c>
      <c r="G648" t="n">
        <v>12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49230-2024</t>
        </is>
      </c>
      <c r="B649" s="1" t="n">
        <v>45595</v>
      </c>
      <c r="C649" s="1" t="n">
        <v>45952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SCA</t>
        </is>
      </c>
      <c r="G649" t="n">
        <v>7.1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44465-2022</t>
        </is>
      </c>
      <c r="B650" s="1" t="n">
        <v>44840.30355324074</v>
      </c>
      <c r="C650" s="1" t="n">
        <v>45952</v>
      </c>
      <c r="D650" t="inlineStr">
        <is>
          <t>VÄSTERBOTTENS LÄN</t>
        </is>
      </c>
      <c r="E650" t="inlineStr">
        <is>
          <t>LYCKSELE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39552-2025</t>
        </is>
      </c>
      <c r="B651" s="1" t="n">
        <v>45890.46518518519</v>
      </c>
      <c r="C651" s="1" t="n">
        <v>45952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Sveaskog</t>
        </is>
      </c>
      <c r="G651" t="n">
        <v>3.7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48205-2025</t>
        </is>
      </c>
      <c r="B652" s="1" t="n">
        <v>45933.48515046296</v>
      </c>
      <c r="C652" s="1" t="n">
        <v>45952</v>
      </c>
      <c r="D652" t="inlineStr">
        <is>
          <t>VÄSTERBOTTENS LÄN</t>
        </is>
      </c>
      <c r="E652" t="inlineStr">
        <is>
          <t>LYCKSELE</t>
        </is>
      </c>
      <c r="F652" t="inlineStr">
        <is>
          <t>Holmen skog AB</t>
        </is>
      </c>
      <c r="G652" t="n">
        <v>4.2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19606-2025</t>
        </is>
      </c>
      <c r="B653" s="1" t="n">
        <v>45770.59820601852</v>
      </c>
      <c r="C653" s="1" t="n">
        <v>45952</v>
      </c>
      <c r="D653" t="inlineStr">
        <is>
          <t>VÄSTERBOTTENS LÄN</t>
        </is>
      </c>
      <c r="E653" t="inlineStr">
        <is>
          <t>LYCKSELE</t>
        </is>
      </c>
      <c r="F653" t="inlineStr">
        <is>
          <t>Holmen skog AB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26357-2023</t>
        </is>
      </c>
      <c r="B654" s="1" t="n">
        <v>45091</v>
      </c>
      <c r="C654" s="1" t="n">
        <v>45952</v>
      </c>
      <c r="D654" t="inlineStr">
        <is>
          <t>VÄSTERBOTTENS LÄN</t>
        </is>
      </c>
      <c r="E654" t="inlineStr">
        <is>
          <t>LYCKSELE</t>
        </is>
      </c>
      <c r="F654" t="inlineStr">
        <is>
          <t>SCA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48208-2025</t>
        </is>
      </c>
      <c r="B655" s="1" t="n">
        <v>45933.48914351852</v>
      </c>
      <c r="C655" s="1" t="n">
        <v>45952</v>
      </c>
      <c r="D655" t="inlineStr">
        <is>
          <t>VÄSTERBOTTENS LÄN</t>
        </is>
      </c>
      <c r="E655" t="inlineStr">
        <is>
          <t>LYCKSELE</t>
        </is>
      </c>
      <c r="F655" t="inlineStr">
        <is>
          <t>Holmen skog AB</t>
        </is>
      </c>
      <c r="G655" t="n">
        <v>2.2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22423-2025</t>
        </is>
      </c>
      <c r="B656" s="1" t="n">
        <v>45786.5633912037</v>
      </c>
      <c r="C656" s="1" t="n">
        <v>45952</v>
      </c>
      <c r="D656" t="inlineStr">
        <is>
          <t>VÄSTERBOTTENS LÄN</t>
        </is>
      </c>
      <c r="E656" t="inlineStr">
        <is>
          <t>LYCKSELE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47930-2025</t>
        </is>
      </c>
      <c r="B657" s="1" t="n">
        <v>45932.55251157407</v>
      </c>
      <c r="C657" s="1" t="n">
        <v>45952</v>
      </c>
      <c r="D657" t="inlineStr">
        <is>
          <t>VÄSTERBOTTENS LÄN</t>
        </is>
      </c>
      <c r="E657" t="inlineStr">
        <is>
          <t>LYCKSELE</t>
        </is>
      </c>
      <c r="G657" t="n">
        <v>17.8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39543-2025</t>
        </is>
      </c>
      <c r="B658" s="1" t="n">
        <v>45890.45545138889</v>
      </c>
      <c r="C658" s="1" t="n">
        <v>45952</v>
      </c>
      <c r="D658" t="inlineStr">
        <is>
          <t>VÄSTERBOTTENS LÄN</t>
        </is>
      </c>
      <c r="E658" t="inlineStr">
        <is>
          <t>LYCKSELE</t>
        </is>
      </c>
      <c r="F658" t="inlineStr">
        <is>
          <t>Sveaskog</t>
        </is>
      </c>
      <c r="G658" t="n">
        <v>12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48230-2023</t>
        </is>
      </c>
      <c r="B659" s="1" t="n">
        <v>45205</v>
      </c>
      <c r="C659" s="1" t="n">
        <v>45952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Holmen skog AB</t>
        </is>
      </c>
      <c r="G659" t="n">
        <v>7.2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39648-2025</t>
        </is>
      </c>
      <c r="B660" s="1" t="n">
        <v>45890.61520833334</v>
      </c>
      <c r="C660" s="1" t="n">
        <v>45952</v>
      </c>
      <c r="D660" t="inlineStr">
        <is>
          <t>VÄSTERBOTTENS LÄN</t>
        </is>
      </c>
      <c r="E660" t="inlineStr">
        <is>
          <t>LYCKSELE</t>
        </is>
      </c>
      <c r="F660" t="inlineStr">
        <is>
          <t>SCA</t>
        </is>
      </c>
      <c r="G660" t="n">
        <v>19.3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39527-2025</t>
        </is>
      </c>
      <c r="B661" s="1" t="n">
        <v>45890</v>
      </c>
      <c r="C661" s="1" t="n">
        <v>45952</v>
      </c>
      <c r="D661" t="inlineStr">
        <is>
          <t>VÄSTERBOTTENS LÄN</t>
        </is>
      </c>
      <c r="E661" t="inlineStr">
        <is>
          <t>LYCKSELE</t>
        </is>
      </c>
      <c r="G661" t="n">
        <v>2.1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48585-2025</t>
        </is>
      </c>
      <c r="B662" s="1" t="n">
        <v>45936.45859953704</v>
      </c>
      <c r="C662" s="1" t="n">
        <v>45952</v>
      </c>
      <c r="D662" t="inlineStr">
        <is>
          <t>VÄSTERBOTTENS LÄN</t>
        </is>
      </c>
      <c r="E662" t="inlineStr">
        <is>
          <t>LYCKSELE</t>
        </is>
      </c>
      <c r="G662" t="n">
        <v>4.8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40342-2025</t>
        </is>
      </c>
      <c r="B663" s="1" t="n">
        <v>45895.46971064815</v>
      </c>
      <c r="C663" s="1" t="n">
        <v>45952</v>
      </c>
      <c r="D663" t="inlineStr">
        <is>
          <t>VÄSTERBOTTENS LÄN</t>
        </is>
      </c>
      <c r="E663" t="inlineStr">
        <is>
          <t>LYCKSELE</t>
        </is>
      </c>
      <c r="F663" t="inlineStr">
        <is>
          <t>Holmen skog AB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41256-2022</t>
        </is>
      </c>
      <c r="B664" s="1" t="n">
        <v>44826</v>
      </c>
      <c r="C664" s="1" t="n">
        <v>45952</v>
      </c>
      <c r="D664" t="inlineStr">
        <is>
          <t>VÄSTERBOTTENS LÄN</t>
        </is>
      </c>
      <c r="E664" t="inlineStr">
        <is>
          <t>LYCKSELE</t>
        </is>
      </c>
      <c r="G664" t="n">
        <v>3.3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14276-2025</t>
        </is>
      </c>
      <c r="B665" s="1" t="n">
        <v>45740.64665509259</v>
      </c>
      <c r="C665" s="1" t="n">
        <v>45952</v>
      </c>
      <c r="D665" t="inlineStr">
        <is>
          <t>VÄSTERBOTTENS LÄN</t>
        </is>
      </c>
      <c r="E665" t="inlineStr">
        <is>
          <t>LYCKSELE</t>
        </is>
      </c>
      <c r="G665" t="n">
        <v>34.9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23827-2025</t>
        </is>
      </c>
      <c r="B666" s="1" t="n">
        <v>45793.59476851852</v>
      </c>
      <c r="C666" s="1" t="n">
        <v>45952</v>
      </c>
      <c r="D666" t="inlineStr">
        <is>
          <t>VÄSTERBOTTENS LÄN</t>
        </is>
      </c>
      <c r="E666" t="inlineStr">
        <is>
          <t>LYCKSELE</t>
        </is>
      </c>
      <c r="F666" t="inlineStr">
        <is>
          <t>SCA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23554-2025</t>
        </is>
      </c>
      <c r="B667" s="1" t="n">
        <v>45792.57557870371</v>
      </c>
      <c r="C667" s="1" t="n">
        <v>45952</v>
      </c>
      <c r="D667" t="inlineStr">
        <is>
          <t>VÄSTERBOTTENS LÄN</t>
        </is>
      </c>
      <c r="E667" t="inlineStr">
        <is>
          <t>LYCKSELE</t>
        </is>
      </c>
      <c r="F667" t="inlineStr">
        <is>
          <t>Holmen skog AB</t>
        </is>
      </c>
      <c r="G667" t="n">
        <v>4.4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23801-2025</t>
        </is>
      </c>
      <c r="B668" s="1" t="n">
        <v>45793.55439814815</v>
      </c>
      <c r="C668" s="1" t="n">
        <v>45952</v>
      </c>
      <c r="D668" t="inlineStr">
        <is>
          <t>VÄSTERBOTTENS LÄN</t>
        </is>
      </c>
      <c r="E668" t="inlineStr">
        <is>
          <t>LYCKSELE</t>
        </is>
      </c>
      <c r="F668" t="inlineStr">
        <is>
          <t>Holmen skog AB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13883-2025</t>
        </is>
      </c>
      <c r="B669" s="1" t="n">
        <v>45737.6024537037</v>
      </c>
      <c r="C669" s="1" t="n">
        <v>45952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Naturvårdsverket</t>
        </is>
      </c>
      <c r="G669" t="n">
        <v>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23297-2023</t>
        </is>
      </c>
      <c r="B670" s="1" t="n">
        <v>45075</v>
      </c>
      <c r="C670" s="1" t="n">
        <v>45952</v>
      </c>
      <c r="D670" t="inlineStr">
        <is>
          <t>VÄSTERBOTTENS LÄN</t>
        </is>
      </c>
      <c r="E670" t="inlineStr">
        <is>
          <t>LYCKSELE</t>
        </is>
      </c>
      <c r="F670" t="inlineStr">
        <is>
          <t>SCA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23798-2025</t>
        </is>
      </c>
      <c r="B671" s="1" t="n">
        <v>45793.55248842593</v>
      </c>
      <c r="C671" s="1" t="n">
        <v>45952</v>
      </c>
      <c r="D671" t="inlineStr">
        <is>
          <t>VÄSTERBOTTENS LÄN</t>
        </is>
      </c>
      <c r="E671" t="inlineStr">
        <is>
          <t>LYCKSELE</t>
        </is>
      </c>
      <c r="F671" t="inlineStr">
        <is>
          <t>SCA</t>
        </is>
      </c>
      <c r="G671" t="n">
        <v>3.2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62877-2023</t>
        </is>
      </c>
      <c r="B672" s="1" t="n">
        <v>45271</v>
      </c>
      <c r="C672" s="1" t="n">
        <v>45952</v>
      </c>
      <c r="D672" t="inlineStr">
        <is>
          <t>VÄSTERBOTTENS LÄN</t>
        </is>
      </c>
      <c r="E672" t="inlineStr">
        <is>
          <t>LYCKSELE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48498-2025</t>
        </is>
      </c>
      <c r="B673" s="1" t="n">
        <v>45936.37527777778</v>
      </c>
      <c r="C673" s="1" t="n">
        <v>45952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Holmen skog AB</t>
        </is>
      </c>
      <c r="G673" t="n">
        <v>5.4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23551-2025</t>
        </is>
      </c>
      <c r="B674" s="1" t="n">
        <v>45792.57373842593</v>
      </c>
      <c r="C674" s="1" t="n">
        <v>45952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5.3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41285-2024</t>
        </is>
      </c>
      <c r="B675" s="1" t="n">
        <v>45559.5952662037</v>
      </c>
      <c r="C675" s="1" t="n">
        <v>45952</v>
      </c>
      <c r="D675" t="inlineStr">
        <is>
          <t>VÄSTERBOTTENS LÄN</t>
        </is>
      </c>
      <c r="E675" t="inlineStr">
        <is>
          <t>LYCKSELE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40079-2025</t>
        </is>
      </c>
      <c r="B676" s="1" t="n">
        <v>45894.4565162037</v>
      </c>
      <c r="C676" s="1" t="n">
        <v>45952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Sveaskog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40238-2025</t>
        </is>
      </c>
      <c r="B677" s="1" t="n">
        <v>45894</v>
      </c>
      <c r="C677" s="1" t="n">
        <v>45952</v>
      </c>
      <c r="D677" t="inlineStr">
        <is>
          <t>VÄSTERBOTTENS LÄN</t>
        </is>
      </c>
      <c r="E677" t="inlineStr">
        <is>
          <t>LYCKSELE</t>
        </is>
      </c>
      <c r="G677" t="n">
        <v>6.4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23679-2025</t>
        </is>
      </c>
      <c r="B678" s="1" t="n">
        <v>45793.32454861111</v>
      </c>
      <c r="C678" s="1" t="n">
        <v>45952</v>
      </c>
      <c r="D678" t="inlineStr">
        <is>
          <t>VÄSTERBOTTENS LÄN</t>
        </is>
      </c>
      <c r="E678" t="inlineStr">
        <is>
          <t>LYCKSELE</t>
        </is>
      </c>
      <c r="F678" t="inlineStr">
        <is>
          <t>Sveaskog</t>
        </is>
      </c>
      <c r="G678" t="n">
        <v>29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53226-2022</t>
        </is>
      </c>
      <c r="B679" s="1" t="n">
        <v>44876.63155092593</v>
      </c>
      <c r="C679" s="1" t="n">
        <v>45952</v>
      </c>
      <c r="D679" t="inlineStr">
        <is>
          <t>VÄSTERBOTTENS LÄN</t>
        </is>
      </c>
      <c r="E679" t="inlineStr">
        <is>
          <t>LYCKSELE</t>
        </is>
      </c>
      <c r="F679" t="inlineStr">
        <is>
          <t>Holmen skog AB</t>
        </is>
      </c>
      <c r="G679" t="n">
        <v>10.5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61367-2024</t>
        </is>
      </c>
      <c r="B680" s="1" t="n">
        <v>45646.38721064815</v>
      </c>
      <c r="C680" s="1" t="n">
        <v>45952</v>
      </c>
      <c r="D680" t="inlineStr">
        <is>
          <t>VÄSTERBOTTENS LÄN</t>
        </is>
      </c>
      <c r="E680" t="inlineStr">
        <is>
          <t>LYCKSELE</t>
        </is>
      </c>
      <c r="G680" t="n">
        <v>10.4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61382-2024</t>
        </is>
      </c>
      <c r="B681" s="1" t="n">
        <v>45646.40891203703</v>
      </c>
      <c r="C681" s="1" t="n">
        <v>45952</v>
      </c>
      <c r="D681" t="inlineStr">
        <is>
          <t>VÄSTERBOTTENS LÄN</t>
        </is>
      </c>
      <c r="E681" t="inlineStr">
        <is>
          <t>LYCKSELE</t>
        </is>
      </c>
      <c r="G681" t="n">
        <v>1.6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23645-2025</t>
        </is>
      </c>
      <c r="B682" s="1" t="n">
        <v>45792.69283564815</v>
      </c>
      <c r="C682" s="1" t="n">
        <v>45952</v>
      </c>
      <c r="D682" t="inlineStr">
        <is>
          <t>VÄSTERBOTTENS LÄN</t>
        </is>
      </c>
      <c r="E682" t="inlineStr">
        <is>
          <t>LYCKSELE</t>
        </is>
      </c>
      <c r="F682" t="inlineStr">
        <is>
          <t>Sveaskog</t>
        </is>
      </c>
      <c r="G682" t="n">
        <v>2.3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24129-2025</t>
        </is>
      </c>
      <c r="B683" s="1" t="n">
        <v>45796</v>
      </c>
      <c r="C683" s="1" t="n">
        <v>45952</v>
      </c>
      <c r="D683" t="inlineStr">
        <is>
          <t>VÄSTERBOTTENS LÄN</t>
        </is>
      </c>
      <c r="E683" t="inlineStr">
        <is>
          <t>LYCKSELE</t>
        </is>
      </c>
      <c r="F683" t="inlineStr">
        <is>
          <t>Holmen skog AB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34567-2023</t>
        </is>
      </c>
      <c r="B684" s="1" t="n">
        <v>45140</v>
      </c>
      <c r="C684" s="1" t="n">
        <v>45952</v>
      </c>
      <c r="D684" t="inlineStr">
        <is>
          <t>VÄSTERBOTTENS LÄN</t>
        </is>
      </c>
      <c r="E684" t="inlineStr">
        <is>
          <t>LYCKSELE</t>
        </is>
      </c>
      <c r="F684" t="inlineStr">
        <is>
          <t>Sveaskog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48493-2025</t>
        </is>
      </c>
      <c r="B685" s="1" t="n">
        <v>45936.36915509259</v>
      </c>
      <c r="C685" s="1" t="n">
        <v>45952</v>
      </c>
      <c r="D685" t="inlineStr">
        <is>
          <t>VÄSTERBOTTENS LÄN</t>
        </is>
      </c>
      <c r="E685" t="inlineStr">
        <is>
          <t>LYCKSELE</t>
        </is>
      </c>
      <c r="F685" t="inlineStr">
        <is>
          <t>Holmen skog AB</t>
        </is>
      </c>
      <c r="G685" t="n">
        <v>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40746-2025</t>
        </is>
      </c>
      <c r="B686" s="1" t="n">
        <v>45897.37753472223</v>
      </c>
      <c r="C686" s="1" t="n">
        <v>45952</v>
      </c>
      <c r="D686" t="inlineStr">
        <is>
          <t>VÄSTERBOTTENS LÄN</t>
        </is>
      </c>
      <c r="E686" t="inlineStr">
        <is>
          <t>LYCKSELE</t>
        </is>
      </c>
      <c r="G686" t="n">
        <v>7.7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40751-2025</t>
        </is>
      </c>
      <c r="B687" s="1" t="n">
        <v>45897.38390046296</v>
      </c>
      <c r="C687" s="1" t="n">
        <v>45952</v>
      </c>
      <c r="D687" t="inlineStr">
        <is>
          <t>VÄSTERBOTTENS LÄN</t>
        </is>
      </c>
      <c r="E687" t="inlineStr">
        <is>
          <t>LYCKSELE</t>
        </is>
      </c>
      <c r="G687" t="n">
        <v>11.8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36132-2023</t>
        </is>
      </c>
      <c r="B688" s="1" t="n">
        <v>45149</v>
      </c>
      <c r="C688" s="1" t="n">
        <v>45952</v>
      </c>
      <c r="D688" t="inlineStr">
        <is>
          <t>VÄSTERBOTTENS LÄN</t>
        </is>
      </c>
      <c r="E688" t="inlineStr">
        <is>
          <t>LYCKSELE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66460-2021</t>
        </is>
      </c>
      <c r="B689" s="1" t="n">
        <v>44518.92194444445</v>
      </c>
      <c r="C689" s="1" t="n">
        <v>45952</v>
      </c>
      <c r="D689" t="inlineStr">
        <is>
          <t>VÄSTERBOTTENS LÄN</t>
        </is>
      </c>
      <c r="E689" t="inlineStr">
        <is>
          <t>LYCKSELE</t>
        </is>
      </c>
      <c r="G689" t="n">
        <v>6.3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17192-2025</t>
        </is>
      </c>
      <c r="B690" s="1" t="n">
        <v>45756.39481481481</v>
      </c>
      <c r="C690" s="1" t="n">
        <v>45952</v>
      </c>
      <c r="D690" t="inlineStr">
        <is>
          <t>VÄSTERBOTTENS LÄN</t>
        </is>
      </c>
      <c r="E690" t="inlineStr">
        <is>
          <t>LYCKSELE</t>
        </is>
      </c>
      <c r="F690" t="inlineStr">
        <is>
          <t>Holmen skog AB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48997-2021</t>
        </is>
      </c>
      <c r="B691" s="1" t="n">
        <v>44453.44574074074</v>
      </c>
      <c r="C691" s="1" t="n">
        <v>45952</v>
      </c>
      <c r="D691" t="inlineStr">
        <is>
          <t>VÄSTERBOTTENS LÄN</t>
        </is>
      </c>
      <c r="E691" t="inlineStr">
        <is>
          <t>LYCKSELE</t>
        </is>
      </c>
      <c r="G691" t="n">
        <v>4.6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49686-2025</t>
        </is>
      </c>
      <c r="B692" s="1" t="n">
        <v>45939</v>
      </c>
      <c r="C692" s="1" t="n">
        <v>45952</v>
      </c>
      <c r="D692" t="inlineStr">
        <is>
          <t>VÄSTERBOTTENS LÄN</t>
        </is>
      </c>
      <c r="E692" t="inlineStr">
        <is>
          <t>LYCKSELE</t>
        </is>
      </c>
      <c r="G692" t="n">
        <v>11.6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59554-2022</t>
        </is>
      </c>
      <c r="B693" s="1" t="n">
        <v>44900</v>
      </c>
      <c r="C693" s="1" t="n">
        <v>45952</v>
      </c>
      <c r="D693" t="inlineStr">
        <is>
          <t>VÄSTERBOTTENS LÄN</t>
        </is>
      </c>
      <c r="E693" t="inlineStr">
        <is>
          <t>LYCKSELE</t>
        </is>
      </c>
      <c r="G693" t="n">
        <v>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52755-2023</t>
        </is>
      </c>
      <c r="B694" s="1" t="n">
        <v>45225.96839120371</v>
      </c>
      <c r="C694" s="1" t="n">
        <v>45952</v>
      </c>
      <c r="D694" t="inlineStr">
        <is>
          <t>VÄSTERBOTTENS LÄN</t>
        </is>
      </c>
      <c r="E694" t="inlineStr">
        <is>
          <t>LYCKSELE</t>
        </is>
      </c>
      <c r="F694" t="inlineStr">
        <is>
          <t>SCA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45503-2021</t>
        </is>
      </c>
      <c r="B695" s="1" t="n">
        <v>44440</v>
      </c>
      <c r="C695" s="1" t="n">
        <v>45952</v>
      </c>
      <c r="D695" t="inlineStr">
        <is>
          <t>VÄSTERBOTTENS LÄN</t>
        </is>
      </c>
      <c r="E695" t="inlineStr">
        <is>
          <t>LYCKSELE</t>
        </is>
      </c>
      <c r="G695" t="n">
        <v>29.1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24346-2024</t>
        </is>
      </c>
      <c r="B696" s="1" t="n">
        <v>45457</v>
      </c>
      <c r="C696" s="1" t="n">
        <v>45952</v>
      </c>
      <c r="D696" t="inlineStr">
        <is>
          <t>VÄSTERBOTTENS LÄN</t>
        </is>
      </c>
      <c r="E696" t="inlineStr">
        <is>
          <t>LYCKSELE</t>
        </is>
      </c>
      <c r="F696" t="inlineStr">
        <is>
          <t>Holmen skog AB</t>
        </is>
      </c>
      <c r="G696" t="n">
        <v>5.4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49196-2025</t>
        </is>
      </c>
      <c r="B697" s="1" t="n">
        <v>45938.40989583333</v>
      </c>
      <c r="C697" s="1" t="n">
        <v>45952</v>
      </c>
      <c r="D697" t="inlineStr">
        <is>
          <t>VÄSTERBOTTENS LÄN</t>
        </is>
      </c>
      <c r="E697" t="inlineStr">
        <is>
          <t>LYCKSELE</t>
        </is>
      </c>
      <c r="G697" t="n">
        <v>2.6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60226-2022</t>
        </is>
      </c>
      <c r="B698" s="1" t="n">
        <v>44910</v>
      </c>
      <c r="C698" s="1" t="n">
        <v>45952</v>
      </c>
      <c r="D698" t="inlineStr">
        <is>
          <t>VÄSTERBOTTENS LÄN</t>
        </is>
      </c>
      <c r="E698" t="inlineStr">
        <is>
          <t>LYCKSELE</t>
        </is>
      </c>
      <c r="G698" t="n">
        <v>5.4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23315-2024</t>
        </is>
      </c>
      <c r="B699" s="1" t="n">
        <v>45453</v>
      </c>
      <c r="C699" s="1" t="n">
        <v>45952</v>
      </c>
      <c r="D699" t="inlineStr">
        <is>
          <t>VÄSTERBOTTENS LÄN</t>
        </is>
      </c>
      <c r="E699" t="inlineStr">
        <is>
          <t>LYCKSELE</t>
        </is>
      </c>
      <c r="G699" t="n">
        <v>7.3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9550-2025</t>
        </is>
      </c>
      <c r="B700" s="1" t="n">
        <v>45715.59436342592</v>
      </c>
      <c r="C700" s="1" t="n">
        <v>45952</v>
      </c>
      <c r="D700" t="inlineStr">
        <is>
          <t>VÄSTERBOTTENS LÄN</t>
        </is>
      </c>
      <c r="E700" t="inlineStr">
        <is>
          <t>LYCKSELE</t>
        </is>
      </c>
      <c r="F700" t="inlineStr">
        <is>
          <t>SCA</t>
        </is>
      </c>
      <c r="G700" t="n">
        <v>20.6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49366-2025</t>
        </is>
      </c>
      <c r="B701" s="1" t="n">
        <v>45938.62356481481</v>
      </c>
      <c r="C701" s="1" t="n">
        <v>45952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Holmen skog AB</t>
        </is>
      </c>
      <c r="G701" t="n">
        <v>3.2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14857-2023</t>
        </is>
      </c>
      <c r="B702" s="1" t="n">
        <v>45014</v>
      </c>
      <c r="C702" s="1" t="n">
        <v>45952</v>
      </c>
      <c r="D702" t="inlineStr">
        <is>
          <t>VÄSTERBOTTENS LÄN</t>
        </is>
      </c>
      <c r="E702" t="inlineStr">
        <is>
          <t>LYCKSELE</t>
        </is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31848-2024</t>
        </is>
      </c>
      <c r="B703" s="1" t="n">
        <v>45509.67273148148</v>
      </c>
      <c r="C703" s="1" t="n">
        <v>45952</v>
      </c>
      <c r="D703" t="inlineStr">
        <is>
          <t>VÄSTERBOTTENS LÄN</t>
        </is>
      </c>
      <c r="E703" t="inlineStr">
        <is>
          <t>LYCKSELE</t>
        </is>
      </c>
      <c r="F703" t="inlineStr">
        <is>
          <t>Holmen skog AB</t>
        </is>
      </c>
      <c r="G703" t="n">
        <v>1.2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49187-2025</t>
        </is>
      </c>
      <c r="B704" s="1" t="n">
        <v>45938.40701388889</v>
      </c>
      <c r="C704" s="1" t="n">
        <v>45952</v>
      </c>
      <c r="D704" t="inlineStr">
        <is>
          <t>VÄSTERBOTTENS LÄN</t>
        </is>
      </c>
      <c r="E704" t="inlineStr">
        <is>
          <t>LYCKSELE</t>
        </is>
      </c>
      <c r="G704" t="n">
        <v>3.8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37391-2024</t>
        </is>
      </c>
      <c r="B705" s="1" t="n">
        <v>45540.59409722222</v>
      </c>
      <c r="C705" s="1" t="n">
        <v>45952</v>
      </c>
      <c r="D705" t="inlineStr">
        <is>
          <t>VÄSTERBOTTENS LÄN</t>
        </is>
      </c>
      <c r="E705" t="inlineStr">
        <is>
          <t>LYCKSELE</t>
        </is>
      </c>
      <c r="F705" t="inlineStr">
        <is>
          <t>SCA</t>
        </is>
      </c>
      <c r="G705" t="n">
        <v>6.7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22050-2024</t>
        </is>
      </c>
      <c r="B706" s="1" t="n">
        <v>45443.61378472222</v>
      </c>
      <c r="C706" s="1" t="n">
        <v>45952</v>
      </c>
      <c r="D706" t="inlineStr">
        <is>
          <t>VÄSTERBOTTENS LÄN</t>
        </is>
      </c>
      <c r="E706" t="inlineStr">
        <is>
          <t>LYCKSELE</t>
        </is>
      </c>
      <c r="F706" t="inlineStr">
        <is>
          <t>Holmen skog AB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2859-2022</t>
        </is>
      </c>
      <c r="B707" s="1" t="n">
        <v>44581</v>
      </c>
      <c r="C707" s="1" t="n">
        <v>45952</v>
      </c>
      <c r="D707" t="inlineStr">
        <is>
          <t>VÄSTERBOTTENS LÄN</t>
        </is>
      </c>
      <c r="E707" t="inlineStr">
        <is>
          <t>LYCKSELE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40635-2025</t>
        </is>
      </c>
      <c r="B708" s="1" t="n">
        <v>45896.60385416666</v>
      </c>
      <c r="C708" s="1" t="n">
        <v>45952</v>
      </c>
      <c r="D708" t="inlineStr">
        <is>
          <t>VÄSTERBOTTENS LÄN</t>
        </is>
      </c>
      <c r="E708" t="inlineStr">
        <is>
          <t>LYCKSELE</t>
        </is>
      </c>
      <c r="G708" t="n">
        <v>6.7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50365-2024</t>
        </is>
      </c>
      <c r="B709" s="1" t="n">
        <v>45600</v>
      </c>
      <c r="C709" s="1" t="n">
        <v>45952</v>
      </c>
      <c r="D709" t="inlineStr">
        <is>
          <t>VÄSTERBOTTENS LÄN</t>
        </is>
      </c>
      <c r="E709" t="inlineStr">
        <is>
          <t>LYCKSELE</t>
        </is>
      </c>
      <c r="G709" t="n">
        <v>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33704-2024</t>
        </is>
      </c>
      <c r="B710" s="1" t="n">
        <v>45520.52381944445</v>
      </c>
      <c r="C710" s="1" t="n">
        <v>45952</v>
      </c>
      <c r="D710" t="inlineStr">
        <is>
          <t>VÄSTERBOTTENS LÄN</t>
        </is>
      </c>
      <c r="E710" t="inlineStr">
        <is>
          <t>LYCKSELE</t>
        </is>
      </c>
      <c r="F710" t="inlineStr">
        <is>
          <t>Sveaskog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30401-2023</t>
        </is>
      </c>
      <c r="B711" s="1" t="n">
        <v>45103</v>
      </c>
      <c r="C711" s="1" t="n">
        <v>45952</v>
      </c>
      <c r="D711" t="inlineStr">
        <is>
          <t>VÄSTERBOTTENS LÄN</t>
        </is>
      </c>
      <c r="E711" t="inlineStr">
        <is>
          <t>LYCKSELE</t>
        </is>
      </c>
      <c r="G711" t="n">
        <v>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24063-2025</t>
        </is>
      </c>
      <c r="B712" s="1" t="n">
        <v>45796.53043981481</v>
      </c>
      <c r="C712" s="1" t="n">
        <v>45952</v>
      </c>
      <c r="D712" t="inlineStr">
        <is>
          <t>VÄSTERBOTTENS LÄN</t>
        </is>
      </c>
      <c r="E712" t="inlineStr">
        <is>
          <t>LYCKSELE</t>
        </is>
      </c>
      <c r="G712" t="n">
        <v>9.6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11822-2023</t>
        </is>
      </c>
      <c r="B713" s="1" t="n">
        <v>44994.94163194444</v>
      </c>
      <c r="C713" s="1" t="n">
        <v>45952</v>
      </c>
      <c r="D713" t="inlineStr">
        <is>
          <t>VÄSTERBOTTENS LÄN</t>
        </is>
      </c>
      <c r="E713" t="inlineStr">
        <is>
          <t>LYCKSELE</t>
        </is>
      </c>
      <c r="F713" t="inlineStr">
        <is>
          <t>SCA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62715-2022</t>
        </is>
      </c>
      <c r="B714" s="1" t="n">
        <v>44925.63133101852</v>
      </c>
      <c r="C714" s="1" t="n">
        <v>45952</v>
      </c>
      <c r="D714" t="inlineStr">
        <is>
          <t>VÄSTERBOTTENS LÄN</t>
        </is>
      </c>
      <c r="E714" t="inlineStr">
        <is>
          <t>LYCKSELE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43660-2025</t>
        </is>
      </c>
      <c r="B715" s="1" t="n">
        <v>45912</v>
      </c>
      <c r="C715" s="1" t="n">
        <v>45952</v>
      </c>
      <c r="D715" t="inlineStr">
        <is>
          <t>VÄSTERBOTTENS LÄN</t>
        </is>
      </c>
      <c r="E715" t="inlineStr">
        <is>
          <t>LYCKSELE</t>
        </is>
      </c>
      <c r="F715" t="inlineStr">
        <is>
          <t>Sveaskog</t>
        </is>
      </c>
      <c r="G715" t="n">
        <v>40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9551-2025</t>
        </is>
      </c>
      <c r="B716" s="1" t="n">
        <v>45715.59438657408</v>
      </c>
      <c r="C716" s="1" t="n">
        <v>45952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40657-2025</t>
        </is>
      </c>
      <c r="B717" s="1" t="n">
        <v>45896.63950231481</v>
      </c>
      <c r="C717" s="1" t="n">
        <v>45952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Sveaskog</t>
        </is>
      </c>
      <c r="G717" t="n">
        <v>5.8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24679-2025</t>
        </is>
      </c>
      <c r="B718" s="1" t="n">
        <v>45798</v>
      </c>
      <c r="C718" s="1" t="n">
        <v>45952</v>
      </c>
      <c r="D718" t="inlineStr">
        <is>
          <t>VÄSTERBOTTENS LÄN</t>
        </is>
      </c>
      <c r="E718" t="inlineStr">
        <is>
          <t>LYCKSELE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20560-2025</t>
        </is>
      </c>
      <c r="B719" s="1" t="n">
        <v>45775.65394675926</v>
      </c>
      <c r="C719" s="1" t="n">
        <v>45952</v>
      </c>
      <c r="D719" t="inlineStr">
        <is>
          <t>VÄSTERBOTTENS LÄN</t>
        </is>
      </c>
      <c r="E719" t="inlineStr">
        <is>
          <t>LYCKSELE</t>
        </is>
      </c>
      <c r="G719" t="n">
        <v>1.5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24511-2025</t>
        </is>
      </c>
      <c r="B720" s="1" t="n">
        <v>45798.40518518518</v>
      </c>
      <c r="C720" s="1" t="n">
        <v>45952</v>
      </c>
      <c r="D720" t="inlineStr">
        <is>
          <t>VÄSTERBOTTENS LÄN</t>
        </is>
      </c>
      <c r="E720" t="inlineStr">
        <is>
          <t>LYCKSELE</t>
        </is>
      </c>
      <c r="F720" t="inlineStr">
        <is>
          <t>Sveaskog</t>
        </is>
      </c>
      <c r="G720" t="n">
        <v>29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24514-2025</t>
        </is>
      </c>
      <c r="B721" s="1" t="n">
        <v>45798.40986111111</v>
      </c>
      <c r="C721" s="1" t="n">
        <v>45952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Sveaskog</t>
        </is>
      </c>
      <c r="G721" t="n">
        <v>8.300000000000001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2758-2023</t>
        </is>
      </c>
      <c r="B722" s="1" t="n">
        <v>44943</v>
      </c>
      <c r="C722" s="1" t="n">
        <v>45952</v>
      </c>
      <c r="D722" t="inlineStr">
        <is>
          <t>VÄSTERBOTTENS LÄN</t>
        </is>
      </c>
      <c r="E722" t="inlineStr">
        <is>
          <t>LYCKSELE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42208-2022</t>
        </is>
      </c>
      <c r="B723" s="1" t="n">
        <v>44830</v>
      </c>
      <c r="C723" s="1" t="n">
        <v>45952</v>
      </c>
      <c r="D723" t="inlineStr">
        <is>
          <t>VÄSTERBOTTENS LÄN</t>
        </is>
      </c>
      <c r="E723" t="inlineStr">
        <is>
          <t>LYCKSELE</t>
        </is>
      </c>
      <c r="G723" t="n">
        <v>3.9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8727-2024</t>
        </is>
      </c>
      <c r="B724" s="1" t="n">
        <v>45356.42712962963</v>
      </c>
      <c r="C724" s="1" t="n">
        <v>45952</v>
      </c>
      <c r="D724" t="inlineStr">
        <is>
          <t>VÄSTERBOTTENS LÄN</t>
        </is>
      </c>
      <c r="E724" t="inlineStr">
        <is>
          <t>LYCKSELE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24770-2025</t>
        </is>
      </c>
      <c r="B725" s="1" t="n">
        <v>45799.39927083333</v>
      </c>
      <c r="C725" s="1" t="n">
        <v>45952</v>
      </c>
      <c r="D725" t="inlineStr">
        <is>
          <t>VÄSTERBOTTENS LÄN</t>
        </is>
      </c>
      <c r="E725" t="inlineStr">
        <is>
          <t>LYCKSELE</t>
        </is>
      </c>
      <c r="F725" t="inlineStr">
        <is>
          <t>Holmen skog AB</t>
        </is>
      </c>
      <c r="G725" t="n">
        <v>8.5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18587-2023</t>
        </is>
      </c>
      <c r="B726" s="1" t="n">
        <v>45041</v>
      </c>
      <c r="C726" s="1" t="n">
        <v>45952</v>
      </c>
      <c r="D726" t="inlineStr">
        <is>
          <t>VÄSTERBOTTENS LÄN</t>
        </is>
      </c>
      <c r="E726" t="inlineStr">
        <is>
          <t>LYCKSELE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25061-2025</t>
        </is>
      </c>
      <c r="B727" s="1" t="n">
        <v>45799.69825231482</v>
      </c>
      <c r="C727" s="1" t="n">
        <v>45952</v>
      </c>
      <c r="D727" t="inlineStr">
        <is>
          <t>VÄSTERBOTTENS LÄN</t>
        </is>
      </c>
      <c r="E727" t="inlineStr">
        <is>
          <t>LYCKSELE</t>
        </is>
      </c>
      <c r="F727" t="inlineStr">
        <is>
          <t>SCA</t>
        </is>
      </c>
      <c r="G727" t="n">
        <v>13.7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24951-2025</t>
        </is>
      </c>
      <c r="B728" s="1" t="n">
        <v>45799.56951388889</v>
      </c>
      <c r="C728" s="1" t="n">
        <v>45952</v>
      </c>
      <c r="D728" t="inlineStr">
        <is>
          <t>VÄSTERBOTTENS LÄN</t>
        </is>
      </c>
      <c r="E728" t="inlineStr">
        <is>
          <t>LYCKSELE</t>
        </is>
      </c>
      <c r="G728" t="n">
        <v>2.8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12430-2025</t>
        </is>
      </c>
      <c r="B729" s="1" t="n">
        <v>45730.46041666667</v>
      </c>
      <c r="C729" s="1" t="n">
        <v>45952</v>
      </c>
      <c r="D729" t="inlineStr">
        <is>
          <t>VÄSTERBOTTENS LÄN</t>
        </is>
      </c>
      <c r="E729" t="inlineStr">
        <is>
          <t>LYCKSELE</t>
        </is>
      </c>
      <c r="G729" t="n">
        <v>4.8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24729-2025</t>
        </is>
      </c>
      <c r="B730" s="1" t="n">
        <v>45799.34076388889</v>
      </c>
      <c r="C730" s="1" t="n">
        <v>45952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Holmen skog AB</t>
        </is>
      </c>
      <c r="G730" t="n">
        <v>4.8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24518-2025</t>
        </is>
      </c>
      <c r="B731" s="1" t="n">
        <v>45798.41498842592</v>
      </c>
      <c r="C731" s="1" t="n">
        <v>45952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Sveaskog</t>
        </is>
      </c>
      <c r="G731" t="n">
        <v>29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53320-2021</t>
        </is>
      </c>
      <c r="B732" s="1" t="n">
        <v>44468.55635416666</v>
      </c>
      <c r="C732" s="1" t="n">
        <v>45952</v>
      </c>
      <c r="D732" t="inlineStr">
        <is>
          <t>VÄSTERBOTTENS LÄN</t>
        </is>
      </c>
      <c r="E732" t="inlineStr">
        <is>
          <t>LYCKSELE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14343-2025</t>
        </is>
      </c>
      <c r="B733" s="1" t="n">
        <v>45741.32619212963</v>
      </c>
      <c r="C733" s="1" t="n">
        <v>45952</v>
      </c>
      <c r="D733" t="inlineStr">
        <is>
          <t>VÄSTERBOTTENS LÄN</t>
        </is>
      </c>
      <c r="E733" t="inlineStr">
        <is>
          <t>LYCKSELE</t>
        </is>
      </c>
      <c r="G733" t="n">
        <v>6.4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29524-2023</t>
        </is>
      </c>
      <c r="B734" s="1" t="n">
        <v>45106.62175925926</v>
      </c>
      <c r="C734" s="1" t="n">
        <v>45952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Holmen skog AB</t>
        </is>
      </c>
      <c r="G734" t="n">
        <v>4.6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408-2023</t>
        </is>
      </c>
      <c r="B735" s="1" t="n">
        <v>44924</v>
      </c>
      <c r="C735" s="1" t="n">
        <v>45952</v>
      </c>
      <c r="D735" t="inlineStr">
        <is>
          <t>VÄSTERBOTTENS LÄN</t>
        </is>
      </c>
      <c r="E735" t="inlineStr">
        <is>
          <t>LYCKSELE</t>
        </is>
      </c>
      <c r="G735" t="n">
        <v>11.9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24603-2025</t>
        </is>
      </c>
      <c r="B736" s="1" t="n">
        <v>45798.57329861111</v>
      </c>
      <c r="C736" s="1" t="n">
        <v>45952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SCA</t>
        </is>
      </c>
      <c r="G736" t="n">
        <v>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53233-2024</t>
        </is>
      </c>
      <c r="B737" s="1" t="n">
        <v>45613.74923611111</v>
      </c>
      <c r="C737" s="1" t="n">
        <v>45952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Sveaskog</t>
        </is>
      </c>
      <c r="G737" t="n">
        <v>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32800-2024</t>
        </is>
      </c>
      <c r="B738" s="1" t="n">
        <v>45516.56430555556</v>
      </c>
      <c r="C738" s="1" t="n">
        <v>45952</v>
      </c>
      <c r="D738" t="inlineStr">
        <is>
          <t>VÄSTERBOTTENS LÄN</t>
        </is>
      </c>
      <c r="E738" t="inlineStr">
        <is>
          <t>LYCKSELE</t>
        </is>
      </c>
      <c r="F738" t="inlineStr">
        <is>
          <t>Sveaskog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54893-2023</t>
        </is>
      </c>
      <c r="B739" s="1" t="n">
        <v>45236.63934027778</v>
      </c>
      <c r="C739" s="1" t="n">
        <v>45952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6.5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24906-2025</t>
        </is>
      </c>
      <c r="B740" s="1" t="n">
        <v>45799.5315162037</v>
      </c>
      <c r="C740" s="1" t="n">
        <v>45952</v>
      </c>
      <c r="D740" t="inlineStr">
        <is>
          <t>VÄSTERBOTTENS LÄN</t>
        </is>
      </c>
      <c r="E740" t="inlineStr">
        <is>
          <t>LYCKSELE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64893-2021</t>
        </is>
      </c>
      <c r="B741" s="1" t="n">
        <v>44512.6299537037</v>
      </c>
      <c r="C741" s="1" t="n">
        <v>45952</v>
      </c>
      <c r="D741" t="inlineStr">
        <is>
          <t>VÄSTERBOTTENS LÄN</t>
        </is>
      </c>
      <c r="E741" t="inlineStr">
        <is>
          <t>LYCKSELE</t>
        </is>
      </c>
      <c r="G741" t="n">
        <v>7.3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24680-2025</t>
        </is>
      </c>
      <c r="B742" s="1" t="n">
        <v>45798</v>
      </c>
      <c r="C742" s="1" t="n">
        <v>45952</v>
      </c>
      <c r="D742" t="inlineStr">
        <is>
          <t>VÄSTERBOTTENS LÄN</t>
        </is>
      </c>
      <c r="E742" t="inlineStr">
        <is>
          <t>LYCKSELE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8360-2024</t>
        </is>
      </c>
      <c r="B743" s="1" t="n">
        <v>45352.58462962963</v>
      </c>
      <c r="C743" s="1" t="n">
        <v>45952</v>
      </c>
      <c r="D743" t="inlineStr">
        <is>
          <t>VÄSTERBOTTENS LÄN</t>
        </is>
      </c>
      <c r="E743" t="inlineStr">
        <is>
          <t>LYCKSELE</t>
        </is>
      </c>
      <c r="F743" t="inlineStr">
        <is>
          <t>Sveaskog</t>
        </is>
      </c>
      <c r="G743" t="n">
        <v>31.5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24509-2025</t>
        </is>
      </c>
      <c r="B744" s="1" t="n">
        <v>45798.40288194444</v>
      </c>
      <c r="C744" s="1" t="n">
        <v>45952</v>
      </c>
      <c r="D744" t="inlineStr">
        <is>
          <t>VÄSTERBOTTENS LÄN</t>
        </is>
      </c>
      <c r="E744" t="inlineStr">
        <is>
          <t>LYCKSELE</t>
        </is>
      </c>
      <c r="F744" t="inlineStr">
        <is>
          <t>Sveaskog</t>
        </is>
      </c>
      <c r="G744" t="n">
        <v>29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53036-2023</t>
        </is>
      </c>
      <c r="B745" s="1" t="n">
        <v>45226.96280092592</v>
      </c>
      <c r="C745" s="1" t="n">
        <v>45952</v>
      </c>
      <c r="D745" t="inlineStr">
        <is>
          <t>VÄSTERBOTTENS LÄN</t>
        </is>
      </c>
      <c r="E745" t="inlineStr">
        <is>
          <t>LYCKSELE</t>
        </is>
      </c>
      <c r="F745" t="inlineStr">
        <is>
          <t>SCA</t>
        </is>
      </c>
      <c r="G745" t="n">
        <v>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25618-2025</t>
        </is>
      </c>
      <c r="B746" s="1" t="n">
        <v>45803.57362268519</v>
      </c>
      <c r="C746" s="1" t="n">
        <v>45952</v>
      </c>
      <c r="D746" t="inlineStr">
        <is>
          <t>VÄSTERBOTTENS LÄN</t>
        </is>
      </c>
      <c r="E746" t="inlineStr">
        <is>
          <t>LYCKSELE</t>
        </is>
      </c>
      <c r="F746" t="inlineStr">
        <is>
          <t>SCA</t>
        </is>
      </c>
      <c r="G746" t="n">
        <v>5.1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25616-2025</t>
        </is>
      </c>
      <c r="B747" s="1" t="n">
        <v>45803.56601851852</v>
      </c>
      <c r="C747" s="1" t="n">
        <v>45952</v>
      </c>
      <c r="D747" t="inlineStr">
        <is>
          <t>VÄSTERBOTTENS LÄN</t>
        </is>
      </c>
      <c r="E747" t="inlineStr">
        <is>
          <t>LYCKSELE</t>
        </is>
      </c>
      <c r="F747" t="inlineStr">
        <is>
          <t>Sveaskog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25590-2025</t>
        </is>
      </c>
      <c r="B748" s="1" t="n">
        <v>45803.49502314815</v>
      </c>
      <c r="C748" s="1" t="n">
        <v>45952</v>
      </c>
      <c r="D748" t="inlineStr">
        <is>
          <t>VÄSTERBOTTENS LÄN</t>
        </is>
      </c>
      <c r="E748" t="inlineStr">
        <is>
          <t>LYCKSELE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25537-2025</t>
        </is>
      </c>
      <c r="B749" s="1" t="n">
        <v>45803.41887731481</v>
      </c>
      <c r="C749" s="1" t="n">
        <v>45952</v>
      </c>
      <c r="D749" t="inlineStr">
        <is>
          <t>VÄSTERBOTTENS LÄN</t>
        </is>
      </c>
      <c r="E749" t="inlineStr">
        <is>
          <t>LYCKSELE</t>
        </is>
      </c>
      <c r="F749" t="inlineStr">
        <is>
          <t>Holmen skog AB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25581-2025</t>
        </is>
      </c>
      <c r="B750" s="1" t="n">
        <v>45803.4812962963</v>
      </c>
      <c r="C750" s="1" t="n">
        <v>45952</v>
      </c>
      <c r="D750" t="inlineStr">
        <is>
          <t>VÄSTERBOTTENS LÄN</t>
        </is>
      </c>
      <c r="E750" t="inlineStr">
        <is>
          <t>LYCKSELE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25573-2025</t>
        </is>
      </c>
      <c r="B751" s="1" t="n">
        <v>45803.47020833333</v>
      </c>
      <c r="C751" s="1" t="n">
        <v>45952</v>
      </c>
      <c r="D751" t="inlineStr">
        <is>
          <t>VÄSTERBOTTENS LÄN</t>
        </is>
      </c>
      <c r="E751" t="inlineStr">
        <is>
          <t>LYCKSELE</t>
        </is>
      </c>
      <c r="G751" t="n">
        <v>6.3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41711-2023</t>
        </is>
      </c>
      <c r="B752" s="1" t="n">
        <v>45176.39111111111</v>
      </c>
      <c r="C752" s="1" t="n">
        <v>45952</v>
      </c>
      <c r="D752" t="inlineStr">
        <is>
          <t>VÄSTERBOTTENS LÄN</t>
        </is>
      </c>
      <c r="E752" t="inlineStr">
        <is>
          <t>LYCKSELE</t>
        </is>
      </c>
      <c r="F752" t="inlineStr">
        <is>
          <t>Holmen skog AB</t>
        </is>
      </c>
      <c r="G752" t="n">
        <v>2.9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25655-2025</t>
        </is>
      </c>
      <c r="B753" s="1" t="n">
        <v>45803.61508101852</v>
      </c>
      <c r="C753" s="1" t="n">
        <v>45952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Sveaskog</t>
        </is>
      </c>
      <c r="G753" t="n">
        <v>1.3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49980-2025</t>
        </is>
      </c>
      <c r="B754" s="1" t="n">
        <v>45942.62741898148</v>
      </c>
      <c r="C754" s="1" t="n">
        <v>45952</v>
      </c>
      <c r="D754" t="inlineStr">
        <is>
          <t>VÄSTERBOTTENS LÄN</t>
        </is>
      </c>
      <c r="E754" t="inlineStr">
        <is>
          <t>LYCKSELE</t>
        </is>
      </c>
      <c r="G754" t="n">
        <v>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17982-2025</t>
        </is>
      </c>
      <c r="B755" s="1" t="n">
        <v>45761.38211805555</v>
      </c>
      <c r="C755" s="1" t="n">
        <v>45952</v>
      </c>
      <c r="D755" t="inlineStr">
        <is>
          <t>VÄSTERBOTTENS LÄN</t>
        </is>
      </c>
      <c r="E755" t="inlineStr">
        <is>
          <t>LYCKSELE</t>
        </is>
      </c>
      <c r="G755" t="n">
        <v>4.8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46826-2023</t>
        </is>
      </c>
      <c r="B756" s="1" t="n">
        <v>45198.93778935185</v>
      </c>
      <c r="C756" s="1" t="n">
        <v>45952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SCA</t>
        </is>
      </c>
      <c r="G756" t="n">
        <v>2.7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38178-2022</t>
        </is>
      </c>
      <c r="B757" s="1" t="n">
        <v>44812</v>
      </c>
      <c r="C757" s="1" t="n">
        <v>45952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Holmen skog AB</t>
        </is>
      </c>
      <c r="G757" t="n">
        <v>6.5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41992-2022</t>
        </is>
      </c>
      <c r="B758" s="1" t="n">
        <v>44830.44271990741</v>
      </c>
      <c r="C758" s="1" t="n">
        <v>45952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Holmen skog AB</t>
        </is>
      </c>
      <c r="G758" t="n">
        <v>3.5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2352-2025</t>
        </is>
      </c>
      <c r="B759" s="1" t="n">
        <v>45673.67935185185</v>
      </c>
      <c r="C759" s="1" t="n">
        <v>45952</v>
      </c>
      <c r="D759" t="inlineStr">
        <is>
          <t>VÄSTERBOTTENS LÄN</t>
        </is>
      </c>
      <c r="E759" t="inlineStr">
        <is>
          <t>LYCKSELE</t>
        </is>
      </c>
      <c r="G759" t="n">
        <v>5.6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55278-2024</t>
        </is>
      </c>
      <c r="B760" s="1" t="n">
        <v>45621.62319444444</v>
      </c>
      <c r="C760" s="1" t="n">
        <v>45952</v>
      </c>
      <c r="D760" t="inlineStr">
        <is>
          <t>VÄSTERBOTTENS LÄN</t>
        </is>
      </c>
      <c r="E760" t="inlineStr">
        <is>
          <t>LYCKSELE</t>
        </is>
      </c>
      <c r="G760" t="n">
        <v>6.9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41031-2025</t>
        </is>
      </c>
      <c r="B761" s="1" t="n">
        <v>45898.37825231482</v>
      </c>
      <c r="C761" s="1" t="n">
        <v>45952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Holmen skog AB</t>
        </is>
      </c>
      <c r="G761" t="n">
        <v>2.4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41604-2025</t>
        </is>
      </c>
      <c r="B762" s="1" t="n">
        <v>45901.66380787037</v>
      </c>
      <c r="C762" s="1" t="n">
        <v>45952</v>
      </c>
      <c r="D762" t="inlineStr">
        <is>
          <t>VÄSTERBOTTENS LÄN</t>
        </is>
      </c>
      <c r="E762" t="inlineStr">
        <is>
          <t>LYCKSELE</t>
        </is>
      </c>
      <c r="G762" t="n">
        <v>16.6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59031-2022</t>
        </is>
      </c>
      <c r="B763" s="1" t="n">
        <v>44903.92716435185</v>
      </c>
      <c r="C763" s="1" t="n">
        <v>45952</v>
      </c>
      <c r="D763" t="inlineStr">
        <is>
          <t>VÄSTERBOTTENS LÄN</t>
        </is>
      </c>
      <c r="E763" t="inlineStr">
        <is>
          <t>LYCKSELE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49968-2025</t>
        </is>
      </c>
      <c r="B764" s="1" t="n">
        <v>45941.80741898148</v>
      </c>
      <c r="C764" s="1" t="n">
        <v>45952</v>
      </c>
      <c r="D764" t="inlineStr">
        <is>
          <t>VÄSTERBOTTENS LÄN</t>
        </is>
      </c>
      <c r="E764" t="inlineStr">
        <is>
          <t>LYCKSELE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49977-2025</t>
        </is>
      </c>
      <c r="B765" s="1" t="n">
        <v>45942.61509259259</v>
      </c>
      <c r="C765" s="1" t="n">
        <v>45952</v>
      </c>
      <c r="D765" t="inlineStr">
        <is>
          <t>VÄSTERBOTTENS LÄN</t>
        </is>
      </c>
      <c r="E765" t="inlineStr">
        <is>
          <t>LYCKSELE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60714-2022</t>
        </is>
      </c>
      <c r="B766" s="1" t="n">
        <v>44912.69100694444</v>
      </c>
      <c r="C766" s="1" t="n">
        <v>45952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26199-2025</t>
        </is>
      </c>
      <c r="B767" s="1" t="n">
        <v>45805.50157407407</v>
      </c>
      <c r="C767" s="1" t="n">
        <v>45952</v>
      </c>
      <c r="D767" t="inlineStr">
        <is>
          <t>VÄSTERBOTTENS LÄN</t>
        </is>
      </c>
      <c r="E767" t="inlineStr">
        <is>
          <t>LYCKSELE</t>
        </is>
      </c>
      <c r="G767" t="n">
        <v>1.1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31698-2023</t>
        </is>
      </c>
      <c r="B768" s="1" t="n">
        <v>45117</v>
      </c>
      <c r="C768" s="1" t="n">
        <v>45952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Holmen skog AB</t>
        </is>
      </c>
      <c r="G768" t="n">
        <v>6.1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18810-2025</t>
        </is>
      </c>
      <c r="B769" s="1" t="n">
        <v>45764.360625</v>
      </c>
      <c r="C769" s="1" t="n">
        <v>45952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Holmen skog AB</t>
        </is>
      </c>
      <c r="G769" t="n">
        <v>1.2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2323-2025</t>
        </is>
      </c>
      <c r="B770" s="1" t="n">
        <v>45673.62765046296</v>
      </c>
      <c r="C770" s="1" t="n">
        <v>45952</v>
      </c>
      <c r="D770" t="inlineStr">
        <is>
          <t>VÄSTERBOTTENS LÄN</t>
        </is>
      </c>
      <c r="E770" t="inlineStr">
        <is>
          <t>LYCKSELE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26318-2024</t>
        </is>
      </c>
      <c r="B771" s="1" t="n">
        <v>45468.97400462963</v>
      </c>
      <c r="C771" s="1" t="n">
        <v>45952</v>
      </c>
      <c r="D771" t="inlineStr">
        <is>
          <t>VÄSTERBOTTENS LÄN</t>
        </is>
      </c>
      <c r="E771" t="inlineStr">
        <is>
          <t>LYCKSELE</t>
        </is>
      </c>
      <c r="F771" t="inlineStr">
        <is>
          <t>SCA</t>
        </is>
      </c>
      <c r="G771" t="n">
        <v>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26295-2025</t>
        </is>
      </c>
      <c r="B772" s="1" t="n">
        <v>45805.63583333333</v>
      </c>
      <c r="C772" s="1" t="n">
        <v>45952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SCA</t>
        </is>
      </c>
      <c r="G772" t="n">
        <v>3.7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49667-2024</t>
        </is>
      </c>
      <c r="B773" s="1" t="n">
        <v>45596.64743055555</v>
      </c>
      <c r="C773" s="1" t="n">
        <v>45952</v>
      </c>
      <c r="D773" t="inlineStr">
        <is>
          <t>VÄSTERBOTTENS LÄN</t>
        </is>
      </c>
      <c r="E773" t="inlineStr">
        <is>
          <t>LYCKSELE</t>
        </is>
      </c>
      <c r="F773" t="inlineStr">
        <is>
          <t>Sveaskog</t>
        </is>
      </c>
      <c r="G773" t="n">
        <v>13.9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26151-2025</t>
        </is>
      </c>
      <c r="B774" s="1" t="n">
        <v>45805.43233796296</v>
      </c>
      <c r="C774" s="1" t="n">
        <v>45952</v>
      </c>
      <c r="D774" t="inlineStr">
        <is>
          <t>VÄSTERBOTTENS LÄN</t>
        </is>
      </c>
      <c r="E774" t="inlineStr">
        <is>
          <t>LYCKSELE</t>
        </is>
      </c>
      <c r="G774" t="n">
        <v>6.8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50021-2025</t>
        </is>
      </c>
      <c r="B775" s="1" t="n">
        <v>45943.37326388889</v>
      </c>
      <c r="C775" s="1" t="n">
        <v>45952</v>
      </c>
      <c r="D775" t="inlineStr">
        <is>
          <t>VÄSTERBOTTENS LÄN</t>
        </is>
      </c>
      <c r="E775" t="inlineStr">
        <is>
          <t>LYCKSELE</t>
        </is>
      </c>
      <c r="G775" t="n">
        <v>1.3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49981-2025</t>
        </is>
      </c>
      <c r="B776" s="1" t="n">
        <v>45942.64034722222</v>
      </c>
      <c r="C776" s="1" t="n">
        <v>45952</v>
      </c>
      <c r="D776" t="inlineStr">
        <is>
          <t>VÄSTERBOTTENS LÄN</t>
        </is>
      </c>
      <c r="E776" t="inlineStr">
        <is>
          <t>LYCKSELE</t>
        </is>
      </c>
      <c r="G776" t="n">
        <v>10.1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49859-2025</t>
        </is>
      </c>
      <c r="B777" s="1" t="n">
        <v>45940.51138888889</v>
      </c>
      <c r="C777" s="1" t="n">
        <v>45952</v>
      </c>
      <c r="D777" t="inlineStr">
        <is>
          <t>VÄSTERBOTTENS LÄN</t>
        </is>
      </c>
      <c r="E777" t="inlineStr">
        <is>
          <t>LYCKSELE</t>
        </is>
      </c>
      <c r="F777" t="inlineStr">
        <is>
          <t>SCA</t>
        </is>
      </c>
      <c r="G777" t="n">
        <v>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57224-2023</t>
        </is>
      </c>
      <c r="B778" s="1" t="n">
        <v>45239</v>
      </c>
      <c r="C778" s="1" t="n">
        <v>45952</v>
      </c>
      <c r="D778" t="inlineStr">
        <is>
          <t>VÄSTERBOTTENS LÄN</t>
        </is>
      </c>
      <c r="E778" t="inlineStr">
        <is>
          <t>LYCKSELE</t>
        </is>
      </c>
      <c r="G778" t="n">
        <v>3.1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49803-2025</t>
        </is>
      </c>
      <c r="B779" s="1" t="n">
        <v>45940.41320601852</v>
      </c>
      <c r="C779" s="1" t="n">
        <v>45952</v>
      </c>
      <c r="D779" t="inlineStr">
        <is>
          <t>VÄSTERBOTTENS LÄN</t>
        </is>
      </c>
      <c r="E779" t="inlineStr">
        <is>
          <t>LYCKSELE</t>
        </is>
      </c>
      <c r="G779" t="n">
        <v>8.800000000000001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26228-2025</t>
        </is>
      </c>
      <c r="B780" s="1" t="n">
        <v>45805.56206018518</v>
      </c>
      <c r="C780" s="1" t="n">
        <v>45952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Sveaskog</t>
        </is>
      </c>
      <c r="G780" t="n">
        <v>3.2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26227-2025</t>
        </is>
      </c>
      <c r="B781" s="1" t="n">
        <v>45805</v>
      </c>
      <c r="C781" s="1" t="n">
        <v>45952</v>
      </c>
      <c r="D781" t="inlineStr">
        <is>
          <t>VÄSTERBOTTENS LÄN</t>
        </is>
      </c>
      <c r="E781" t="inlineStr">
        <is>
          <t>LYCKSELE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26234-2025</t>
        </is>
      </c>
      <c r="B782" s="1" t="n">
        <v>45805</v>
      </c>
      <c r="C782" s="1" t="n">
        <v>45952</v>
      </c>
      <c r="D782" t="inlineStr">
        <is>
          <t>VÄSTERBOTTENS LÄN</t>
        </is>
      </c>
      <c r="E782" t="inlineStr">
        <is>
          <t>LYCKSELE</t>
        </is>
      </c>
      <c r="G782" t="n">
        <v>2.2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49783-2025</t>
        </is>
      </c>
      <c r="B783" s="1" t="n">
        <v>45940.39555555556</v>
      </c>
      <c r="C783" s="1" t="n">
        <v>45952</v>
      </c>
      <c r="D783" t="inlineStr">
        <is>
          <t>VÄSTERBOTTENS LÄN</t>
        </is>
      </c>
      <c r="E783" t="inlineStr">
        <is>
          <t>LYCKSELE</t>
        </is>
      </c>
      <c r="F783" t="inlineStr">
        <is>
          <t>Sveaskog</t>
        </is>
      </c>
      <c r="G783" t="n">
        <v>4.3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41087-2025</t>
        </is>
      </c>
      <c r="B784" s="1" t="n">
        <v>45898.43600694444</v>
      </c>
      <c r="C784" s="1" t="n">
        <v>45952</v>
      </c>
      <c r="D784" t="inlineStr">
        <is>
          <t>VÄSTERBOTTENS LÄN</t>
        </is>
      </c>
      <c r="E784" t="inlineStr">
        <is>
          <t>LYCKSELE</t>
        </is>
      </c>
      <c r="F784" t="inlineStr">
        <is>
          <t>Holmen skog AB</t>
        </is>
      </c>
      <c r="G784" t="n">
        <v>3.6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41911-2025</t>
        </is>
      </c>
      <c r="B785" s="1" t="n">
        <v>45903.40899305556</v>
      </c>
      <c r="C785" s="1" t="n">
        <v>45952</v>
      </c>
      <c r="D785" t="inlineStr">
        <is>
          <t>VÄSTERBOTTENS LÄN</t>
        </is>
      </c>
      <c r="E785" t="inlineStr">
        <is>
          <t>LYCKSELE</t>
        </is>
      </c>
      <c r="F785" t="inlineStr">
        <is>
          <t>Sveaskog</t>
        </is>
      </c>
      <c r="G785" t="n">
        <v>9.4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62547-2022</t>
        </is>
      </c>
      <c r="B786" s="1" t="n">
        <v>44924.71886574074</v>
      </c>
      <c r="C786" s="1" t="n">
        <v>45952</v>
      </c>
      <c r="D786" t="inlineStr">
        <is>
          <t>VÄSTERBOTTENS LÄN</t>
        </is>
      </c>
      <c r="E786" t="inlineStr">
        <is>
          <t>LYCKSELE</t>
        </is>
      </c>
      <c r="F786" t="inlineStr">
        <is>
          <t>Sveaskog</t>
        </is>
      </c>
      <c r="G786" t="n">
        <v>4.1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26422-2025</t>
        </is>
      </c>
      <c r="B787" s="1" t="n">
        <v>45807.37386574074</v>
      </c>
      <c r="C787" s="1" t="n">
        <v>45952</v>
      </c>
      <c r="D787" t="inlineStr">
        <is>
          <t>VÄSTERBOTTENS LÄN</t>
        </is>
      </c>
      <c r="E787" t="inlineStr">
        <is>
          <t>LYCKSELE</t>
        </is>
      </c>
      <c r="F787" t="inlineStr">
        <is>
          <t>Sveaskog</t>
        </is>
      </c>
      <c r="G787" t="n">
        <v>3.9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36325-2024</t>
        </is>
      </c>
      <c r="B788" s="1" t="n">
        <v>45534.63637731481</v>
      </c>
      <c r="C788" s="1" t="n">
        <v>45952</v>
      </c>
      <c r="D788" t="inlineStr">
        <is>
          <t>VÄSTERBOTTENS LÄN</t>
        </is>
      </c>
      <c r="E788" t="inlineStr">
        <is>
          <t>LYCKSELE</t>
        </is>
      </c>
      <c r="G788" t="n">
        <v>2.8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42019-2025</t>
        </is>
      </c>
      <c r="B789" s="1" t="n">
        <v>45903.58563657408</v>
      </c>
      <c r="C789" s="1" t="n">
        <v>45952</v>
      </c>
      <c r="D789" t="inlineStr">
        <is>
          <t>VÄSTERBOTTENS LÄN</t>
        </is>
      </c>
      <c r="E789" t="inlineStr">
        <is>
          <t>LYCKSELE</t>
        </is>
      </c>
      <c r="F789" t="inlineStr">
        <is>
          <t>Holmen skog AB</t>
        </is>
      </c>
      <c r="G789" t="n">
        <v>2.9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42075-2025</t>
        </is>
      </c>
      <c r="B790" s="1" t="n">
        <v>45902</v>
      </c>
      <c r="C790" s="1" t="n">
        <v>45952</v>
      </c>
      <c r="D790" t="inlineStr">
        <is>
          <t>VÄSTERBOTTENS LÄN</t>
        </is>
      </c>
      <c r="E790" t="inlineStr">
        <is>
          <t>LYCKSELE</t>
        </is>
      </c>
      <c r="G790" t="n">
        <v>4.5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41523-2024</t>
        </is>
      </c>
      <c r="B791" s="1" t="n">
        <v>45560.48015046296</v>
      </c>
      <c r="C791" s="1" t="n">
        <v>45952</v>
      </c>
      <c r="D791" t="inlineStr">
        <is>
          <t>VÄSTERBOTTENS LÄN</t>
        </is>
      </c>
      <c r="E791" t="inlineStr">
        <is>
          <t>LYCKSELE</t>
        </is>
      </c>
      <c r="F791" t="inlineStr">
        <is>
          <t>Holmen skog AB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42051-2025</t>
        </is>
      </c>
      <c r="B792" s="1" t="n">
        <v>45903.63274305555</v>
      </c>
      <c r="C792" s="1" t="n">
        <v>45952</v>
      </c>
      <c r="D792" t="inlineStr">
        <is>
          <t>VÄSTERBOTTENS LÄN</t>
        </is>
      </c>
      <c r="E792" t="inlineStr">
        <is>
          <t>LYCKSELE</t>
        </is>
      </c>
      <c r="G792" t="n">
        <v>3.7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26999-2023</t>
        </is>
      </c>
      <c r="B793" s="1" t="n">
        <v>45093</v>
      </c>
      <c r="C793" s="1" t="n">
        <v>45952</v>
      </c>
      <c r="D793" t="inlineStr">
        <is>
          <t>VÄSTERBOTTENS LÄN</t>
        </is>
      </c>
      <c r="E793" t="inlineStr">
        <is>
          <t>LYCKSELE</t>
        </is>
      </c>
      <c r="F793" t="inlineStr">
        <is>
          <t>SCA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26410-2025</t>
        </is>
      </c>
      <c r="B794" s="1" t="n">
        <v>45807.34731481481</v>
      </c>
      <c r="C794" s="1" t="n">
        <v>45952</v>
      </c>
      <c r="D794" t="inlineStr">
        <is>
          <t>VÄSTERBOTTENS LÄN</t>
        </is>
      </c>
      <c r="E794" t="inlineStr">
        <is>
          <t>LYCKSELE</t>
        </is>
      </c>
      <c r="F794" t="inlineStr">
        <is>
          <t>Holmen skog AB</t>
        </is>
      </c>
      <c r="G794" t="n">
        <v>2.2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26419-2025</t>
        </is>
      </c>
      <c r="B795" s="1" t="n">
        <v>45807.36931712963</v>
      </c>
      <c r="C795" s="1" t="n">
        <v>45952</v>
      </c>
      <c r="D795" t="inlineStr">
        <is>
          <t>VÄSTERBOTTENS LÄN</t>
        </is>
      </c>
      <c r="E795" t="inlineStr">
        <is>
          <t>LYCKSELE</t>
        </is>
      </c>
      <c r="F795" t="inlineStr">
        <is>
          <t>Sveaskog</t>
        </is>
      </c>
      <c r="G795" t="n">
        <v>9.4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71412-2021</t>
        </is>
      </c>
      <c r="B796" s="1" t="n">
        <v>44540.39224537037</v>
      </c>
      <c r="C796" s="1" t="n">
        <v>45952</v>
      </c>
      <c r="D796" t="inlineStr">
        <is>
          <t>VÄSTERBOTTENS LÄN</t>
        </is>
      </c>
      <c r="E796" t="inlineStr">
        <is>
          <t>LYCKSELE</t>
        </is>
      </c>
      <c r="G796" t="n">
        <v>3.2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26398-2025</t>
        </is>
      </c>
      <c r="B797" s="1" t="n">
        <v>45807.31575231482</v>
      </c>
      <c r="C797" s="1" t="n">
        <v>45952</v>
      </c>
      <c r="D797" t="inlineStr">
        <is>
          <t>VÄSTERBOTTENS LÄN</t>
        </is>
      </c>
      <c r="E797" t="inlineStr">
        <is>
          <t>LYCKSELE</t>
        </is>
      </c>
      <c r="F797" t="inlineStr">
        <is>
          <t>Holmen skog AB</t>
        </is>
      </c>
      <c r="G797" t="n">
        <v>4.9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50523-2025</t>
        </is>
      </c>
      <c r="B798" s="1" t="n">
        <v>45945.46711805555</v>
      </c>
      <c r="C798" s="1" t="n">
        <v>45952</v>
      </c>
      <c r="D798" t="inlineStr">
        <is>
          <t>VÄSTERBOTTENS LÄN</t>
        </is>
      </c>
      <c r="E798" t="inlineStr">
        <is>
          <t>LYCKSELE</t>
        </is>
      </c>
      <c r="G798" t="n">
        <v>22.4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41906-2025</t>
        </is>
      </c>
      <c r="B799" s="1" t="n">
        <v>45903.40400462963</v>
      </c>
      <c r="C799" s="1" t="n">
        <v>45952</v>
      </c>
      <c r="D799" t="inlineStr">
        <is>
          <t>VÄSTERBOTTENS LÄN</t>
        </is>
      </c>
      <c r="E799" t="inlineStr">
        <is>
          <t>LYCKSELE</t>
        </is>
      </c>
      <c r="F799" t="inlineStr">
        <is>
          <t>Sveaskog</t>
        </is>
      </c>
      <c r="G799" t="n">
        <v>10.9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45444-2024</t>
        </is>
      </c>
      <c r="B800" s="1" t="n">
        <v>45576.64476851852</v>
      </c>
      <c r="C800" s="1" t="n">
        <v>45952</v>
      </c>
      <c r="D800" t="inlineStr">
        <is>
          <t>VÄSTERBOTTENS LÄN</t>
        </is>
      </c>
      <c r="E800" t="inlineStr">
        <is>
          <t>LYCKSELE</t>
        </is>
      </c>
      <c r="F800" t="inlineStr">
        <is>
          <t>Sveaskog</t>
        </is>
      </c>
      <c r="G800" t="n">
        <v>2.8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4671-2025</t>
        </is>
      </c>
      <c r="B801" s="1" t="n">
        <v>45687</v>
      </c>
      <c r="C801" s="1" t="n">
        <v>45952</v>
      </c>
      <c r="D801" t="inlineStr">
        <is>
          <t>VÄSTERBOTTENS LÄN</t>
        </is>
      </c>
      <c r="E801" t="inlineStr">
        <is>
          <t>LYCKSELE</t>
        </is>
      </c>
      <c r="G801" t="n">
        <v>3.4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14070-2024</t>
        </is>
      </c>
      <c r="B802" s="1" t="n">
        <v>45392.57258101852</v>
      </c>
      <c r="C802" s="1" t="n">
        <v>45952</v>
      </c>
      <c r="D802" t="inlineStr">
        <is>
          <t>VÄSTERBOTTENS LÄN</t>
        </is>
      </c>
      <c r="E802" t="inlineStr">
        <is>
          <t>LYCKSELE</t>
        </is>
      </c>
      <c r="G802" t="n">
        <v>1.5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19246-2025</t>
        </is>
      </c>
      <c r="B803" s="1" t="n">
        <v>45769.48415509259</v>
      </c>
      <c r="C803" s="1" t="n">
        <v>45952</v>
      </c>
      <c r="D803" t="inlineStr">
        <is>
          <t>VÄSTERBOTTENS LÄN</t>
        </is>
      </c>
      <c r="E803" t="inlineStr">
        <is>
          <t>LYCKSELE</t>
        </is>
      </c>
      <c r="G803" t="n">
        <v>9.4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27072-2025</t>
        </is>
      </c>
      <c r="B804" s="1" t="n">
        <v>45811.64100694445</v>
      </c>
      <c r="C804" s="1" t="n">
        <v>45952</v>
      </c>
      <c r="D804" t="inlineStr">
        <is>
          <t>VÄSTERBOTTENS LÄN</t>
        </is>
      </c>
      <c r="E804" t="inlineStr">
        <is>
          <t>LYCKSELE</t>
        </is>
      </c>
      <c r="F804" t="inlineStr">
        <is>
          <t>Sveaskog</t>
        </is>
      </c>
      <c r="G804" t="n">
        <v>4.2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41105-2024</t>
        </is>
      </c>
      <c r="B805" s="1" t="n">
        <v>45559.44234953704</v>
      </c>
      <c r="C805" s="1" t="n">
        <v>45952</v>
      </c>
      <c r="D805" t="inlineStr">
        <is>
          <t>VÄSTERBOTTENS LÄN</t>
        </is>
      </c>
      <c r="E805" t="inlineStr">
        <is>
          <t>LYCKSELE</t>
        </is>
      </c>
      <c r="F805" t="inlineStr">
        <is>
          <t>Sveaskog</t>
        </is>
      </c>
      <c r="G805" t="n">
        <v>3.4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50367-2025</t>
        </is>
      </c>
      <c r="B806" s="1" t="n">
        <v>45944.57620370371</v>
      </c>
      <c r="C806" s="1" t="n">
        <v>45952</v>
      </c>
      <c r="D806" t="inlineStr">
        <is>
          <t>VÄSTERBOTTENS LÄN</t>
        </is>
      </c>
      <c r="E806" t="inlineStr">
        <is>
          <t>LYCKSELE</t>
        </is>
      </c>
      <c r="F806" t="inlineStr">
        <is>
          <t>Holmen skog AB</t>
        </is>
      </c>
      <c r="G806" t="n">
        <v>7.8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55250-2024</t>
        </is>
      </c>
      <c r="B807" s="1" t="n">
        <v>45621.595</v>
      </c>
      <c r="C807" s="1" t="n">
        <v>45952</v>
      </c>
      <c r="D807" t="inlineStr">
        <is>
          <t>VÄSTERBOTTENS LÄN</t>
        </is>
      </c>
      <c r="E807" t="inlineStr">
        <is>
          <t>LYCKSELE</t>
        </is>
      </c>
      <c r="G807" t="n">
        <v>2.8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52699-2021</t>
        </is>
      </c>
      <c r="B808" s="1" t="n">
        <v>44466</v>
      </c>
      <c r="C808" s="1" t="n">
        <v>45952</v>
      </c>
      <c r="D808" t="inlineStr">
        <is>
          <t>VÄSTERBOTTENS LÄN</t>
        </is>
      </c>
      <c r="E808" t="inlineStr">
        <is>
          <t>LYCKSELE</t>
        </is>
      </c>
      <c r="G808" t="n">
        <v>3.9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42028-2025</t>
        </is>
      </c>
      <c r="B809" s="1" t="n">
        <v>45903.59854166667</v>
      </c>
      <c r="C809" s="1" t="n">
        <v>45952</v>
      </c>
      <c r="D809" t="inlineStr">
        <is>
          <t>VÄSTERBOTTENS LÄN</t>
        </is>
      </c>
      <c r="E809" t="inlineStr">
        <is>
          <t>LYCKSELE</t>
        </is>
      </c>
      <c r="G809" t="n">
        <v>2.6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42057-2025</t>
        </is>
      </c>
      <c r="B810" s="1" t="n">
        <v>45903.64262731482</v>
      </c>
      <c r="C810" s="1" t="n">
        <v>45952</v>
      </c>
      <c r="D810" t="inlineStr">
        <is>
          <t>VÄSTERBOTTENS LÄN</t>
        </is>
      </c>
      <c r="E810" t="inlineStr">
        <is>
          <t>LYCKSELE</t>
        </is>
      </c>
      <c r="G810" t="n">
        <v>2.5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12261-2022</t>
        </is>
      </c>
      <c r="B811" s="1" t="n">
        <v>44637</v>
      </c>
      <c r="C811" s="1" t="n">
        <v>45952</v>
      </c>
      <c r="D811" t="inlineStr">
        <is>
          <t>VÄSTERBOTTENS LÄN</t>
        </is>
      </c>
      <c r="E811" t="inlineStr">
        <is>
          <t>LYCKSELE</t>
        </is>
      </c>
      <c r="G811" t="n">
        <v>30.8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62584-2022</t>
        </is>
      </c>
      <c r="B812" s="1" t="n">
        <v>44924</v>
      </c>
      <c r="C812" s="1" t="n">
        <v>45952</v>
      </c>
      <c r="D812" t="inlineStr">
        <is>
          <t>VÄSTERBOTTENS LÄN</t>
        </is>
      </c>
      <c r="E812" t="inlineStr">
        <is>
          <t>LYCKSELE</t>
        </is>
      </c>
      <c r="F812" t="inlineStr">
        <is>
          <t>SCA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26622-2025</t>
        </is>
      </c>
      <c r="B813" s="1" t="n">
        <v>45810.32515046297</v>
      </c>
      <c r="C813" s="1" t="n">
        <v>45952</v>
      </c>
      <c r="D813" t="inlineStr">
        <is>
          <t>VÄSTERBOTTENS LÄN</t>
        </is>
      </c>
      <c r="E813" t="inlineStr">
        <is>
          <t>LYCKSELE</t>
        </is>
      </c>
      <c r="G813" t="n">
        <v>3.6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26951-2025</t>
        </is>
      </c>
      <c r="B814" s="1" t="n">
        <v>45811.44082175926</v>
      </c>
      <c r="C814" s="1" t="n">
        <v>45952</v>
      </c>
      <c r="D814" t="inlineStr">
        <is>
          <t>VÄSTERBOTTENS LÄN</t>
        </is>
      </c>
      <c r="E814" t="inlineStr">
        <is>
          <t>LYCKSELE</t>
        </is>
      </c>
      <c r="F814" t="inlineStr">
        <is>
          <t>Holmen skog AB</t>
        </is>
      </c>
      <c r="G814" t="n">
        <v>3.1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27080-2025</t>
        </is>
      </c>
      <c r="B815" s="1" t="n">
        <v>45811.65400462963</v>
      </c>
      <c r="C815" s="1" t="n">
        <v>45952</v>
      </c>
      <c r="D815" t="inlineStr">
        <is>
          <t>VÄSTERBOTTENS LÄN</t>
        </is>
      </c>
      <c r="E815" t="inlineStr">
        <is>
          <t>LYCKSELE</t>
        </is>
      </c>
      <c r="F815" t="inlineStr">
        <is>
          <t>Holmen skog AB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42500-2025</t>
        </is>
      </c>
      <c r="B816" s="1" t="n">
        <v>45905.52245370371</v>
      </c>
      <c r="C816" s="1" t="n">
        <v>45952</v>
      </c>
      <c r="D816" t="inlineStr">
        <is>
          <t>VÄSTERBOTTENS LÄN</t>
        </is>
      </c>
      <c r="E816" t="inlineStr">
        <is>
          <t>LYCKSELE</t>
        </is>
      </c>
      <c r="F816" t="inlineStr">
        <is>
          <t>Sveaskog</t>
        </is>
      </c>
      <c r="G816" t="n">
        <v>24.3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29709-2025</t>
        </is>
      </c>
      <c r="B817" s="1" t="n">
        <v>45825.56317129629</v>
      </c>
      <c r="C817" s="1" t="n">
        <v>45952</v>
      </c>
      <c r="D817" t="inlineStr">
        <is>
          <t>VÄSTERBOTTENS LÄN</t>
        </is>
      </c>
      <c r="E817" t="inlineStr">
        <is>
          <t>LYCKSELE</t>
        </is>
      </c>
      <c r="F817" t="inlineStr">
        <is>
          <t>Holmen skog AB</t>
        </is>
      </c>
      <c r="G817" t="n">
        <v>52.4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54539-2023</t>
        </is>
      </c>
      <c r="B818" s="1" t="n">
        <v>45226</v>
      </c>
      <c r="C818" s="1" t="n">
        <v>45952</v>
      </c>
      <c r="D818" t="inlineStr">
        <is>
          <t>VÄSTERBOTTENS LÄN</t>
        </is>
      </c>
      <c r="E818" t="inlineStr">
        <is>
          <t>LYCKSELE</t>
        </is>
      </c>
      <c r="G818" t="n">
        <v>1.6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52233-2024</t>
        </is>
      </c>
      <c r="B819" s="1" t="n">
        <v>45608.61015046296</v>
      </c>
      <c r="C819" s="1" t="n">
        <v>45952</v>
      </c>
      <c r="D819" t="inlineStr">
        <is>
          <t>VÄSTERBOTTENS LÄN</t>
        </is>
      </c>
      <c r="E819" t="inlineStr">
        <is>
          <t>LYCKSELE</t>
        </is>
      </c>
      <c r="F819" t="inlineStr">
        <is>
          <t>Sveaskog</t>
        </is>
      </c>
      <c r="G819" t="n">
        <v>1.3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40262-2022</t>
        </is>
      </c>
      <c r="B820" s="1" t="n">
        <v>44820</v>
      </c>
      <c r="C820" s="1" t="n">
        <v>45952</v>
      </c>
      <c r="D820" t="inlineStr">
        <is>
          <t>VÄSTERBOTTENS LÄN</t>
        </is>
      </c>
      <c r="E820" t="inlineStr">
        <is>
          <t>LYCKSELE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7768-2023</t>
        </is>
      </c>
      <c r="B821" s="1" t="n">
        <v>44973.39023148148</v>
      </c>
      <c r="C821" s="1" t="n">
        <v>45952</v>
      </c>
      <c r="D821" t="inlineStr">
        <is>
          <t>VÄSTERBOTTENS LÄN</t>
        </is>
      </c>
      <c r="E821" t="inlineStr">
        <is>
          <t>LYCKSELE</t>
        </is>
      </c>
      <c r="G821" t="n">
        <v>2.3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  <c r="U821">
        <f>HYPERLINK("https://klasma.github.io/Logging_2481/knärot/A 7768-2023 karta knärot.png", "A 7768-2023")</f>
        <v/>
      </c>
      <c r="V821">
        <f>HYPERLINK("https://klasma.github.io/Logging_2481/klagomål/A 7768-2023 FSC-klagomål.docx", "A 7768-2023")</f>
        <v/>
      </c>
      <c r="W821">
        <f>HYPERLINK("https://klasma.github.io/Logging_2481/klagomålsmail/A 7768-2023 FSC-klagomål mail.docx", "A 7768-2023")</f>
        <v/>
      </c>
      <c r="X821">
        <f>HYPERLINK("https://klasma.github.io/Logging_2481/tillsyn/A 7768-2023 tillsynsbegäran.docx", "A 7768-2023")</f>
        <v/>
      </c>
      <c r="Y821">
        <f>HYPERLINK("https://klasma.github.io/Logging_2481/tillsynsmail/A 7768-2023 tillsynsbegäran mail.docx", "A 7768-2023")</f>
        <v/>
      </c>
    </row>
    <row r="822" ht="15" customHeight="1">
      <c r="A822" t="inlineStr">
        <is>
          <t>A 26893-2025</t>
        </is>
      </c>
      <c r="B822" s="1" t="n">
        <v>45811.33413194444</v>
      </c>
      <c r="C822" s="1" t="n">
        <v>45952</v>
      </c>
      <c r="D822" t="inlineStr">
        <is>
          <t>VÄSTERBOTTENS LÄN</t>
        </is>
      </c>
      <c r="E822" t="inlineStr">
        <is>
          <t>LYCKSELE</t>
        </is>
      </c>
      <c r="F822" t="inlineStr">
        <is>
          <t>Holmen skog AB</t>
        </is>
      </c>
      <c r="G822" t="n">
        <v>22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62870-2023</t>
        </is>
      </c>
      <c r="B823" s="1" t="n">
        <v>45271</v>
      </c>
      <c r="C823" s="1" t="n">
        <v>45952</v>
      </c>
      <c r="D823" t="inlineStr">
        <is>
          <t>VÄSTERBOTTENS LÄN</t>
        </is>
      </c>
      <c r="E823" t="inlineStr">
        <is>
          <t>LYCKSELE</t>
        </is>
      </c>
      <c r="G823" t="n">
        <v>4.3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51048-2023</t>
        </is>
      </c>
      <c r="B824" s="1" t="n">
        <v>45218.63373842592</v>
      </c>
      <c r="C824" s="1" t="n">
        <v>45952</v>
      </c>
      <c r="D824" t="inlineStr">
        <is>
          <t>VÄSTERBOTTENS LÄN</t>
        </is>
      </c>
      <c r="E824" t="inlineStr">
        <is>
          <t>LYCKSELE</t>
        </is>
      </c>
      <c r="F824" t="inlineStr">
        <is>
          <t>Sveaskog</t>
        </is>
      </c>
      <c r="G824" t="n">
        <v>2.5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14195-2024</t>
        </is>
      </c>
      <c r="B825" s="1" t="n">
        <v>45393</v>
      </c>
      <c r="C825" s="1" t="n">
        <v>45952</v>
      </c>
      <c r="D825" t="inlineStr">
        <is>
          <t>VÄSTERBOTTENS LÄN</t>
        </is>
      </c>
      <c r="E825" t="inlineStr">
        <is>
          <t>LYCKSELE</t>
        </is>
      </c>
      <c r="F825" t="inlineStr">
        <is>
          <t>Holmen skog AB</t>
        </is>
      </c>
      <c r="G825" t="n">
        <v>22.9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47096-2023</t>
        </is>
      </c>
      <c r="B826" s="1" t="n">
        <v>45201.64815972222</v>
      </c>
      <c r="C826" s="1" t="n">
        <v>45952</v>
      </c>
      <c r="D826" t="inlineStr">
        <is>
          <t>VÄSTERBOTTENS LÄN</t>
        </is>
      </c>
      <c r="E826" t="inlineStr">
        <is>
          <t>LYCKSELE</t>
        </is>
      </c>
      <c r="G826" t="n">
        <v>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62094-2023</t>
        </is>
      </c>
      <c r="B827" s="1" t="n">
        <v>45266</v>
      </c>
      <c r="C827" s="1" t="n">
        <v>45952</v>
      </c>
      <c r="D827" t="inlineStr">
        <is>
          <t>VÄSTERBOTTENS LÄN</t>
        </is>
      </c>
      <c r="E827" t="inlineStr">
        <is>
          <t>LYCKSELE</t>
        </is>
      </c>
      <c r="G827" t="n">
        <v>2.3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24041-2023</t>
        </is>
      </c>
      <c r="B828" s="1" t="n">
        <v>45078</v>
      </c>
      <c r="C828" s="1" t="n">
        <v>45952</v>
      </c>
      <c r="D828" t="inlineStr">
        <is>
          <t>VÄSTERBOTTENS LÄN</t>
        </is>
      </c>
      <c r="E828" t="inlineStr">
        <is>
          <t>LYCKSELE</t>
        </is>
      </c>
      <c r="F828" t="inlineStr">
        <is>
          <t>SCA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57898-2021</t>
        </is>
      </c>
      <c r="B829" s="1" t="n">
        <v>44486.67993055555</v>
      </c>
      <c r="C829" s="1" t="n">
        <v>45952</v>
      </c>
      <c r="D829" t="inlineStr">
        <is>
          <t>VÄSTERBOTTENS LÄN</t>
        </is>
      </c>
      <c r="E829" t="inlineStr">
        <is>
          <t>LYCKSELE</t>
        </is>
      </c>
      <c r="G829" t="n">
        <v>14.7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936-2023</t>
        </is>
      </c>
      <c r="B830" s="1" t="n">
        <v>44933</v>
      </c>
      <c r="C830" s="1" t="n">
        <v>45952</v>
      </c>
      <c r="D830" t="inlineStr">
        <is>
          <t>VÄSTERBOTTENS LÄN</t>
        </is>
      </c>
      <c r="E830" t="inlineStr">
        <is>
          <t>LYCKSELE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11743-2023</t>
        </is>
      </c>
      <c r="B831" s="1" t="n">
        <v>44994.59267361111</v>
      </c>
      <c r="C831" s="1" t="n">
        <v>45952</v>
      </c>
      <c r="D831" t="inlineStr">
        <is>
          <t>VÄSTERBOTTENS LÄN</t>
        </is>
      </c>
      <c r="E831" t="inlineStr">
        <is>
          <t>LYCKSELE</t>
        </is>
      </c>
      <c r="G831" t="n">
        <v>2.2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52039-2023</t>
        </is>
      </c>
      <c r="B832" s="1" t="n">
        <v>45223</v>
      </c>
      <c r="C832" s="1" t="n">
        <v>45952</v>
      </c>
      <c r="D832" t="inlineStr">
        <is>
          <t>VÄSTERBOTTENS LÄN</t>
        </is>
      </c>
      <c r="E832" t="inlineStr">
        <is>
          <t>LYCKSELE</t>
        </is>
      </c>
      <c r="F832" t="inlineStr">
        <is>
          <t>Sveaskog</t>
        </is>
      </c>
      <c r="G832" t="n">
        <v>4.4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3303-2024</t>
        </is>
      </c>
      <c r="B833" s="1" t="n">
        <v>45316</v>
      </c>
      <c r="C833" s="1" t="n">
        <v>45952</v>
      </c>
      <c r="D833" t="inlineStr">
        <is>
          <t>VÄSTERBOTTENS LÄN</t>
        </is>
      </c>
      <c r="E833" t="inlineStr">
        <is>
          <t>LYCKSELE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43770-2025</t>
        </is>
      </c>
      <c r="B834" s="1" t="n">
        <v>45912</v>
      </c>
      <c r="C834" s="1" t="n">
        <v>45952</v>
      </c>
      <c r="D834" t="inlineStr">
        <is>
          <t>VÄSTERBOTTENS LÄN</t>
        </is>
      </c>
      <c r="E834" t="inlineStr">
        <is>
          <t>LYCKSELE</t>
        </is>
      </c>
      <c r="F834" t="inlineStr">
        <is>
          <t>Holmen skog AB</t>
        </is>
      </c>
      <c r="G834" t="n">
        <v>9.5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64334-2023</t>
        </is>
      </c>
      <c r="B835" s="1" t="n">
        <v>45279</v>
      </c>
      <c r="C835" s="1" t="n">
        <v>45952</v>
      </c>
      <c r="D835" t="inlineStr">
        <is>
          <t>VÄSTERBOTTENS LÄN</t>
        </is>
      </c>
      <c r="E835" t="inlineStr">
        <is>
          <t>LYCKSELE</t>
        </is>
      </c>
      <c r="G835" t="n">
        <v>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9019-2025</t>
        </is>
      </c>
      <c r="B836" s="1" t="n">
        <v>45713.59445601852</v>
      </c>
      <c r="C836" s="1" t="n">
        <v>45952</v>
      </c>
      <c r="D836" t="inlineStr">
        <is>
          <t>VÄSTERBOTTENS LÄN</t>
        </is>
      </c>
      <c r="E836" t="inlineStr">
        <is>
          <t>LYCKSELE</t>
        </is>
      </c>
      <c r="F836" t="inlineStr">
        <is>
          <t>SCA</t>
        </is>
      </c>
      <c r="G836" t="n">
        <v>17.4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32585-2024</t>
        </is>
      </c>
      <c r="B837" s="1" t="n">
        <v>45513.58017361111</v>
      </c>
      <c r="C837" s="1" t="n">
        <v>45952</v>
      </c>
      <c r="D837" t="inlineStr">
        <is>
          <t>VÄSTERBOTTENS LÄN</t>
        </is>
      </c>
      <c r="E837" t="inlineStr">
        <is>
          <t>LYCKSELE</t>
        </is>
      </c>
      <c r="F837" t="inlineStr">
        <is>
          <t>Naturvårdsverket</t>
        </is>
      </c>
      <c r="G837" t="n">
        <v>2.4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27588-2025</t>
        </is>
      </c>
      <c r="B838" s="1" t="n">
        <v>45813.50950231482</v>
      </c>
      <c r="C838" s="1" t="n">
        <v>45952</v>
      </c>
      <c r="D838" t="inlineStr">
        <is>
          <t>VÄSTERBOTTENS LÄN</t>
        </is>
      </c>
      <c r="E838" t="inlineStr">
        <is>
          <t>LYCKSELE</t>
        </is>
      </c>
      <c r="G838" t="n">
        <v>5.3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27471-2025</t>
        </is>
      </c>
      <c r="B839" s="1" t="n">
        <v>45813.36581018518</v>
      </c>
      <c r="C839" s="1" t="n">
        <v>45952</v>
      </c>
      <c r="D839" t="inlineStr">
        <is>
          <t>VÄSTERBOTTENS LÄN</t>
        </is>
      </c>
      <c r="E839" t="inlineStr">
        <is>
          <t>LYCKSELE</t>
        </is>
      </c>
      <c r="G839" t="n">
        <v>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42405-2025</t>
        </is>
      </c>
      <c r="B840" s="1" t="n">
        <v>45905.37756944444</v>
      </c>
      <c r="C840" s="1" t="n">
        <v>45952</v>
      </c>
      <c r="D840" t="inlineStr">
        <is>
          <t>VÄSTERBOTTENS LÄN</t>
        </is>
      </c>
      <c r="E840" t="inlineStr">
        <is>
          <t>LYCKSELE</t>
        </is>
      </c>
      <c r="F840" t="inlineStr">
        <is>
          <t>Sveaskog</t>
        </is>
      </c>
      <c r="G840" t="n">
        <v>23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7818-2023</t>
        </is>
      </c>
      <c r="B841" s="1" t="n">
        <v>44973.46649305556</v>
      </c>
      <c r="C841" s="1" t="n">
        <v>45952</v>
      </c>
      <c r="D841" t="inlineStr">
        <is>
          <t>VÄSTERBOTTENS LÄN</t>
        </is>
      </c>
      <c r="E841" t="inlineStr">
        <is>
          <t>LYCKSELE</t>
        </is>
      </c>
      <c r="G841" t="n">
        <v>3.8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27564-2025</t>
        </is>
      </c>
      <c r="B842" s="1" t="n">
        <v>45813.48702546296</v>
      </c>
      <c r="C842" s="1" t="n">
        <v>45952</v>
      </c>
      <c r="D842" t="inlineStr">
        <is>
          <t>VÄSTERBOTTENS LÄN</t>
        </is>
      </c>
      <c r="E842" t="inlineStr">
        <is>
          <t>LYCKSELE</t>
        </is>
      </c>
      <c r="G842" t="n">
        <v>6.7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27595-2025</t>
        </is>
      </c>
      <c r="B843" s="1" t="n">
        <v>45813.52065972222</v>
      </c>
      <c r="C843" s="1" t="n">
        <v>45952</v>
      </c>
      <c r="D843" t="inlineStr">
        <is>
          <t>VÄSTERBOTTENS LÄN</t>
        </is>
      </c>
      <c r="E843" t="inlineStr">
        <is>
          <t>LYCKSELE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19270-2024</t>
        </is>
      </c>
      <c r="B844" s="1" t="n">
        <v>45428</v>
      </c>
      <c r="C844" s="1" t="n">
        <v>45952</v>
      </c>
      <c r="D844" t="inlineStr">
        <is>
          <t>VÄSTERBOTTENS LÄN</t>
        </is>
      </c>
      <c r="E844" t="inlineStr">
        <is>
          <t>LYCKSELE</t>
        </is>
      </c>
      <c r="F844" t="inlineStr">
        <is>
          <t>Holmen skog AB</t>
        </is>
      </c>
      <c r="G844" t="n">
        <v>11.1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27643-2025</t>
        </is>
      </c>
      <c r="B845" s="1" t="n">
        <v>45813.59416666667</v>
      </c>
      <c r="C845" s="1" t="n">
        <v>45952</v>
      </c>
      <c r="D845" t="inlineStr">
        <is>
          <t>VÄSTERBOTTENS LÄN</t>
        </is>
      </c>
      <c r="E845" t="inlineStr">
        <is>
          <t>LYCKSELE</t>
        </is>
      </c>
      <c r="F845" t="inlineStr">
        <is>
          <t>SCA</t>
        </is>
      </c>
      <c r="G845" t="n">
        <v>6.3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34810-2024</t>
        </is>
      </c>
      <c r="B846" s="1" t="n">
        <v>45526.69534722222</v>
      </c>
      <c r="C846" s="1" t="n">
        <v>45952</v>
      </c>
      <c r="D846" t="inlineStr">
        <is>
          <t>VÄSTERBOTTENS LÄN</t>
        </is>
      </c>
      <c r="E846" t="inlineStr">
        <is>
          <t>LYCKSELE</t>
        </is>
      </c>
      <c r="F846" t="inlineStr">
        <is>
          <t>Sveaskog</t>
        </is>
      </c>
      <c r="G846" t="n">
        <v>2.4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42616-2025</t>
        </is>
      </c>
      <c r="B847" s="1" t="n">
        <v>45905.71912037037</v>
      </c>
      <c r="C847" s="1" t="n">
        <v>45952</v>
      </c>
      <c r="D847" t="inlineStr">
        <is>
          <t>VÄSTERBOTTENS LÄN</t>
        </is>
      </c>
      <c r="E847" t="inlineStr">
        <is>
          <t>LYCKSELE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27610-2025</t>
        </is>
      </c>
      <c r="B848" s="1" t="n">
        <v>45813.53611111111</v>
      </c>
      <c r="C848" s="1" t="n">
        <v>45952</v>
      </c>
      <c r="D848" t="inlineStr">
        <is>
          <t>VÄSTERBOTTENS LÄN</t>
        </is>
      </c>
      <c r="E848" t="inlineStr">
        <is>
          <t>LYCKSELE</t>
        </is>
      </c>
      <c r="F848" t="inlineStr">
        <is>
          <t>Holmen skog AB</t>
        </is>
      </c>
      <c r="G848" t="n">
        <v>15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27306-2025</t>
        </is>
      </c>
      <c r="B849" s="1" t="n">
        <v>45812.57329861111</v>
      </c>
      <c r="C849" s="1" t="n">
        <v>45952</v>
      </c>
      <c r="D849" t="inlineStr">
        <is>
          <t>VÄSTERBOTTENS LÄN</t>
        </is>
      </c>
      <c r="E849" t="inlineStr">
        <is>
          <t>LYCKSELE</t>
        </is>
      </c>
      <c r="F849" t="inlineStr">
        <is>
          <t>SCA</t>
        </is>
      </c>
      <c r="G849" t="n">
        <v>7.1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55170-2022</t>
        </is>
      </c>
      <c r="B850" s="1" t="n">
        <v>44886</v>
      </c>
      <c r="C850" s="1" t="n">
        <v>45952</v>
      </c>
      <c r="D850" t="inlineStr">
        <is>
          <t>VÄSTERBOTTENS LÄN</t>
        </is>
      </c>
      <c r="E850" t="inlineStr">
        <is>
          <t>LYCKSELE</t>
        </is>
      </c>
      <c r="F850" t="inlineStr">
        <is>
          <t>Holmen skog AB</t>
        </is>
      </c>
      <c r="G850" t="n">
        <v>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51207-2025</t>
        </is>
      </c>
      <c r="B851" s="1" t="n">
        <v>45947.6377199074</v>
      </c>
      <c r="C851" s="1" t="n">
        <v>45952</v>
      </c>
      <c r="D851" t="inlineStr">
        <is>
          <t>VÄSTERBOTTENS LÄN</t>
        </is>
      </c>
      <c r="E851" t="inlineStr">
        <is>
          <t>LYCKSELE</t>
        </is>
      </c>
      <c r="F851" t="inlineStr">
        <is>
          <t>Holmen skog AB</t>
        </is>
      </c>
      <c r="G851" t="n">
        <v>7.8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13563-2023</t>
        </is>
      </c>
      <c r="B852" s="1" t="n">
        <v>45006.48116898148</v>
      </c>
      <c r="C852" s="1" t="n">
        <v>45952</v>
      </c>
      <c r="D852" t="inlineStr">
        <is>
          <t>VÄSTERBOTTENS LÄN</t>
        </is>
      </c>
      <c r="E852" t="inlineStr">
        <is>
          <t>LYCKSELE</t>
        </is>
      </c>
      <c r="G852" t="n">
        <v>2.6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34111-2025</t>
        </is>
      </c>
      <c r="B853" s="1" t="n">
        <v>45845.50052083333</v>
      </c>
      <c r="C853" s="1" t="n">
        <v>45952</v>
      </c>
      <c r="D853" t="inlineStr">
        <is>
          <t>VÄSTERBOTTENS LÄN</t>
        </is>
      </c>
      <c r="E853" t="inlineStr">
        <is>
          <t>LYCKSELE</t>
        </is>
      </c>
      <c r="F853" t="inlineStr">
        <is>
          <t>Holmen skog AB</t>
        </is>
      </c>
      <c r="G853" t="n">
        <v>8.4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26531-2024</t>
        </is>
      </c>
      <c r="B854" s="1" t="n">
        <v>45469</v>
      </c>
      <c r="C854" s="1" t="n">
        <v>45952</v>
      </c>
      <c r="D854" t="inlineStr">
        <is>
          <t>VÄSTERBOTTENS LÄN</t>
        </is>
      </c>
      <c r="E854" t="inlineStr">
        <is>
          <t>LYCKSELE</t>
        </is>
      </c>
      <c r="G854" t="n">
        <v>2.6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57845-2023</t>
        </is>
      </c>
      <c r="B855" s="1" t="n">
        <v>45247</v>
      </c>
      <c r="C855" s="1" t="n">
        <v>45952</v>
      </c>
      <c r="D855" t="inlineStr">
        <is>
          <t>VÄSTERBOTTENS LÄN</t>
        </is>
      </c>
      <c r="E855" t="inlineStr">
        <is>
          <t>LYCKSELE</t>
        </is>
      </c>
      <c r="F855" t="inlineStr">
        <is>
          <t>Sveaskog</t>
        </is>
      </c>
      <c r="G855" t="n">
        <v>2.9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57084-2024</t>
        </is>
      </c>
      <c r="B856" s="1" t="n">
        <v>45629.35606481481</v>
      </c>
      <c r="C856" s="1" t="n">
        <v>45952</v>
      </c>
      <c r="D856" t="inlineStr">
        <is>
          <t>VÄSTERBOTTENS LÄN</t>
        </is>
      </c>
      <c r="E856" t="inlineStr">
        <is>
          <t>LYCKSELE</t>
        </is>
      </c>
      <c r="G856" t="n">
        <v>1.8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5039-2025</t>
        </is>
      </c>
      <c r="B857" s="1" t="n">
        <v>45691</v>
      </c>
      <c r="C857" s="1" t="n">
        <v>45952</v>
      </c>
      <c r="D857" t="inlineStr">
        <is>
          <t>VÄSTERBOTTENS LÄN</t>
        </is>
      </c>
      <c r="E857" t="inlineStr">
        <is>
          <t>LYCKSELE</t>
        </is>
      </c>
      <c r="G857" t="n">
        <v>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27736-2025</t>
        </is>
      </c>
      <c r="B858" s="1" t="n">
        <v>45815.323125</v>
      </c>
      <c r="C858" s="1" t="n">
        <v>45952</v>
      </c>
      <c r="D858" t="inlineStr">
        <is>
          <t>VÄSTERBOTTENS LÄN</t>
        </is>
      </c>
      <c r="E858" t="inlineStr">
        <is>
          <t>LYCKSELE</t>
        </is>
      </c>
      <c r="G858" t="n">
        <v>6.8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59653-2022</t>
        </is>
      </c>
      <c r="B859" s="1" t="n">
        <v>44907</v>
      </c>
      <c r="C859" s="1" t="n">
        <v>45952</v>
      </c>
      <c r="D859" t="inlineStr">
        <is>
          <t>VÄSTERBOTTENS LÄN</t>
        </is>
      </c>
      <c r="E859" t="inlineStr">
        <is>
          <t>LYCKSELE</t>
        </is>
      </c>
      <c r="G859" t="n">
        <v>2.5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28170-2025</t>
        </is>
      </c>
      <c r="B860" s="1" t="n">
        <v>45818.37524305555</v>
      </c>
      <c r="C860" s="1" t="n">
        <v>45952</v>
      </c>
      <c r="D860" t="inlineStr">
        <is>
          <t>VÄSTERBOTTENS LÄN</t>
        </is>
      </c>
      <c r="E860" t="inlineStr">
        <is>
          <t>LYCKSELE</t>
        </is>
      </c>
      <c r="F860" t="inlineStr">
        <is>
          <t>Sveaskog</t>
        </is>
      </c>
      <c r="G860" t="n">
        <v>12.6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27735-2025</t>
        </is>
      </c>
      <c r="B861" s="1" t="n">
        <v>45815</v>
      </c>
      <c r="C861" s="1" t="n">
        <v>45952</v>
      </c>
      <c r="D861" t="inlineStr">
        <is>
          <t>VÄSTERBOTTENS LÄN</t>
        </is>
      </c>
      <c r="E861" t="inlineStr">
        <is>
          <t>LYCKSELE</t>
        </is>
      </c>
      <c r="G861" t="n">
        <v>7.9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51473-2025</t>
        </is>
      </c>
      <c r="B862" s="1" t="n">
        <v>45950.61760416667</v>
      </c>
      <c r="C862" s="1" t="n">
        <v>45952</v>
      </c>
      <c r="D862" t="inlineStr">
        <is>
          <t>VÄSTERBOTTENS LÄN</t>
        </is>
      </c>
      <c r="E862" t="inlineStr">
        <is>
          <t>LYCKSELE</t>
        </is>
      </c>
      <c r="F862" t="inlineStr">
        <is>
          <t>Sveaskog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51748-2025</t>
        </is>
      </c>
      <c r="B863" s="1" t="n">
        <v>45951.61508101852</v>
      </c>
      <c r="C863" s="1" t="n">
        <v>45952</v>
      </c>
      <c r="D863" t="inlineStr">
        <is>
          <t>VÄSTERBOTTENS LÄN</t>
        </is>
      </c>
      <c r="E863" t="inlineStr">
        <is>
          <t>LYCKSELE</t>
        </is>
      </c>
      <c r="F863" t="inlineStr">
        <is>
          <t>SCA</t>
        </is>
      </c>
      <c r="G863" t="n">
        <v>19.8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8313-2025</t>
        </is>
      </c>
      <c r="B864" s="1" t="n">
        <v>45708.61552083334</v>
      </c>
      <c r="C864" s="1" t="n">
        <v>45952</v>
      </c>
      <c r="D864" t="inlineStr">
        <is>
          <t>VÄSTERBOTTENS LÄN</t>
        </is>
      </c>
      <c r="E864" t="inlineStr">
        <is>
          <t>LYCKSELE</t>
        </is>
      </c>
      <c r="F864" t="inlineStr">
        <is>
          <t>SCA</t>
        </is>
      </c>
      <c r="G864" t="n">
        <v>4.6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28306-2025</t>
        </is>
      </c>
      <c r="B865" s="1" t="n">
        <v>45818.61637731481</v>
      </c>
      <c r="C865" s="1" t="n">
        <v>45952</v>
      </c>
      <c r="D865" t="inlineStr">
        <is>
          <t>VÄSTERBOTTENS LÄN</t>
        </is>
      </c>
      <c r="E865" t="inlineStr">
        <is>
          <t>LYCKSELE</t>
        </is>
      </c>
      <c r="F865" t="inlineStr">
        <is>
          <t>Sveaskog</t>
        </is>
      </c>
      <c r="G865" t="n">
        <v>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28345-2025</t>
        </is>
      </c>
      <c r="B866" s="1" t="n">
        <v>45818.69081018519</v>
      </c>
      <c r="C866" s="1" t="n">
        <v>45952</v>
      </c>
      <c r="D866" t="inlineStr">
        <is>
          <t>VÄSTERBOTTENS LÄN</t>
        </is>
      </c>
      <c r="E866" t="inlineStr">
        <is>
          <t>LYCKSELE</t>
        </is>
      </c>
      <c r="F866" t="inlineStr">
        <is>
          <t>Holmen skog AB</t>
        </is>
      </c>
      <c r="G866" t="n">
        <v>16.9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71407-2021</t>
        </is>
      </c>
      <c r="B867" s="1" t="n">
        <v>44540.38878472222</v>
      </c>
      <c r="C867" s="1" t="n">
        <v>45952</v>
      </c>
      <c r="D867" t="inlineStr">
        <is>
          <t>VÄSTERBOTTENS LÄN</t>
        </is>
      </c>
      <c r="E867" t="inlineStr">
        <is>
          <t>LYCKSELE</t>
        </is>
      </c>
      <c r="G867" t="n">
        <v>9.4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23596-2024</t>
        </is>
      </c>
      <c r="B868" s="1" t="n">
        <v>45454.38533564815</v>
      </c>
      <c r="C868" s="1" t="n">
        <v>45952</v>
      </c>
      <c r="D868" t="inlineStr">
        <is>
          <t>VÄSTERBOTTENS LÄN</t>
        </is>
      </c>
      <c r="E868" t="inlineStr">
        <is>
          <t>LYCKSELE</t>
        </is>
      </c>
      <c r="G868" t="n">
        <v>8.800000000000001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42986-2025</t>
        </is>
      </c>
      <c r="B869" s="1" t="n">
        <v>45909.44497685185</v>
      </c>
      <c r="C869" s="1" t="n">
        <v>45952</v>
      </c>
      <c r="D869" t="inlineStr">
        <is>
          <t>VÄSTERBOTTENS LÄN</t>
        </is>
      </c>
      <c r="E869" t="inlineStr">
        <is>
          <t>LYCKSELE</t>
        </is>
      </c>
      <c r="G869" t="n">
        <v>6.5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29277-2023</t>
        </is>
      </c>
      <c r="B870" s="1" t="n">
        <v>45105.70230324074</v>
      </c>
      <c r="C870" s="1" t="n">
        <v>45952</v>
      </c>
      <c r="D870" t="inlineStr">
        <is>
          <t>VÄSTERBOTTENS LÄN</t>
        </is>
      </c>
      <c r="E870" t="inlineStr">
        <is>
          <t>LYCKSELE</t>
        </is>
      </c>
      <c r="F870" t="inlineStr">
        <is>
          <t>Naturvårdsverket</t>
        </is>
      </c>
      <c r="G870" t="n">
        <v>6.4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28486-2025</t>
        </is>
      </c>
      <c r="B871" s="1" t="n">
        <v>45819</v>
      </c>
      <c r="C871" s="1" t="n">
        <v>45952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25565-2025</t>
        </is>
      </c>
      <c r="B872" s="1" t="n">
        <v>45803.45731481481</v>
      </c>
      <c r="C872" s="1" t="n">
        <v>45952</v>
      </c>
      <c r="D872" t="inlineStr">
        <is>
          <t>VÄSTERBOTTENS LÄN</t>
        </is>
      </c>
      <c r="E872" t="inlineStr">
        <is>
          <t>LYCKSELE</t>
        </is>
      </c>
      <c r="G872" t="n">
        <v>21.9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30161-2024</t>
        </is>
      </c>
      <c r="B873" s="1" t="n">
        <v>45488</v>
      </c>
      <c r="C873" s="1" t="n">
        <v>45952</v>
      </c>
      <c r="D873" t="inlineStr">
        <is>
          <t>VÄSTERBOTTENS LÄN</t>
        </is>
      </c>
      <c r="E873" t="inlineStr">
        <is>
          <t>LYCKSELE</t>
        </is>
      </c>
      <c r="F873" t="inlineStr">
        <is>
          <t>Sveaskog</t>
        </is>
      </c>
      <c r="G873" t="n">
        <v>16.1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42984-2025</t>
        </is>
      </c>
      <c r="B874" s="1" t="n">
        <v>45909.44195601852</v>
      </c>
      <c r="C874" s="1" t="n">
        <v>45952</v>
      </c>
      <c r="D874" t="inlineStr">
        <is>
          <t>VÄSTERBOTTENS LÄN</t>
        </is>
      </c>
      <c r="E874" t="inlineStr">
        <is>
          <t>LYCKSELE</t>
        </is>
      </c>
      <c r="G874" t="n">
        <v>2.5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29088-2025</t>
        </is>
      </c>
      <c r="B875" s="1" t="n">
        <v>45821.54648148148</v>
      </c>
      <c r="C875" s="1" t="n">
        <v>45952</v>
      </c>
      <c r="D875" t="inlineStr">
        <is>
          <t>VÄSTERBOTTENS LÄN</t>
        </is>
      </c>
      <c r="E875" t="inlineStr">
        <is>
          <t>LYCKSELE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28833-2025</t>
        </is>
      </c>
      <c r="B876" s="1" t="n">
        <v>45820.55636574074</v>
      </c>
      <c r="C876" s="1" t="n">
        <v>45952</v>
      </c>
      <c r="D876" t="inlineStr">
        <is>
          <t>VÄSTERBOTTENS LÄN</t>
        </is>
      </c>
      <c r="E876" t="inlineStr">
        <is>
          <t>LYCKSELE</t>
        </is>
      </c>
      <c r="F876" t="inlineStr">
        <is>
          <t>Sveaskog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51295-2025</t>
        </is>
      </c>
      <c r="B877" s="1" t="n">
        <v>45950.35725694444</v>
      </c>
      <c r="C877" s="1" t="n">
        <v>45952</v>
      </c>
      <c r="D877" t="inlineStr">
        <is>
          <t>VÄSTERBOTTENS LÄN</t>
        </is>
      </c>
      <c r="E877" t="inlineStr">
        <is>
          <t>LYCKSELE</t>
        </is>
      </c>
      <c r="G877" t="n">
        <v>22.8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46692-2025</t>
        </is>
      </c>
      <c r="B878" s="1" t="n">
        <v>45926</v>
      </c>
      <c r="C878" s="1" t="n">
        <v>45952</v>
      </c>
      <c r="D878" t="inlineStr">
        <is>
          <t>VÄSTERBOTTENS LÄN</t>
        </is>
      </c>
      <c r="E878" t="inlineStr">
        <is>
          <t>LYCKSELE</t>
        </is>
      </c>
      <c r="F878" t="inlineStr">
        <is>
          <t>Holmen skog AB</t>
        </is>
      </c>
      <c r="G878" t="n">
        <v>3.9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46562-2025</t>
        </is>
      </c>
      <c r="B879" s="1" t="n">
        <v>45926</v>
      </c>
      <c r="C879" s="1" t="n">
        <v>45952</v>
      </c>
      <c r="D879" t="inlineStr">
        <is>
          <t>VÄSTERBOTTENS LÄN</t>
        </is>
      </c>
      <c r="E879" t="inlineStr">
        <is>
          <t>LYCKSELE</t>
        </is>
      </c>
      <c r="F879" t="inlineStr">
        <is>
          <t>Holmen skog AB</t>
        </is>
      </c>
      <c r="G879" t="n">
        <v>4.6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1962-2024</t>
        </is>
      </c>
      <c r="B880" s="1" t="n">
        <v>45308</v>
      </c>
      <c r="C880" s="1" t="n">
        <v>45952</v>
      </c>
      <c r="D880" t="inlineStr">
        <is>
          <t>VÄSTERBOTTENS LÄN</t>
        </is>
      </c>
      <c r="E880" t="inlineStr">
        <is>
          <t>LYCKSELE</t>
        </is>
      </c>
      <c r="F880" t="inlineStr">
        <is>
          <t>Holmen skog AB</t>
        </is>
      </c>
      <c r="G880" t="n">
        <v>9.300000000000001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29095-2025</t>
        </is>
      </c>
      <c r="B881" s="1" t="n">
        <v>45821.56167824074</v>
      </c>
      <c r="C881" s="1" t="n">
        <v>45952</v>
      </c>
      <c r="D881" t="inlineStr">
        <is>
          <t>VÄSTERBOTTENS LÄN</t>
        </is>
      </c>
      <c r="E881" t="inlineStr">
        <is>
          <t>LYCKSELE</t>
        </is>
      </c>
      <c r="F881" t="inlineStr">
        <is>
          <t>Holmen skog AB</t>
        </is>
      </c>
      <c r="G881" t="n">
        <v>1.6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29034-2025</t>
        </is>
      </c>
      <c r="B882" s="1" t="n">
        <v>45821.44274305556</v>
      </c>
      <c r="C882" s="1" t="n">
        <v>45952</v>
      </c>
      <c r="D882" t="inlineStr">
        <is>
          <t>VÄSTERBOTTENS LÄN</t>
        </is>
      </c>
      <c r="E882" t="inlineStr">
        <is>
          <t>LYCKSELE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29123-2025</t>
        </is>
      </c>
      <c r="B883" s="1" t="n">
        <v>45821.59451388889</v>
      </c>
      <c r="C883" s="1" t="n">
        <v>45952</v>
      </c>
      <c r="D883" t="inlineStr">
        <is>
          <t>VÄSTERBOTTENS LÄN</t>
        </is>
      </c>
      <c r="E883" t="inlineStr">
        <is>
          <t>LYCKSELE</t>
        </is>
      </c>
      <c r="G883" t="n">
        <v>5.2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46654-2025</t>
        </is>
      </c>
      <c r="B884" s="1" t="n">
        <v>45926</v>
      </c>
      <c r="C884" s="1" t="n">
        <v>45952</v>
      </c>
      <c r="D884" t="inlineStr">
        <is>
          <t>VÄSTERBOTTENS LÄN</t>
        </is>
      </c>
      <c r="E884" t="inlineStr">
        <is>
          <t>LYCKSELE</t>
        </is>
      </c>
      <c r="F884" t="inlineStr">
        <is>
          <t>Holmen skog AB</t>
        </is>
      </c>
      <c r="G884" t="n">
        <v>1.2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29045-2025</t>
        </is>
      </c>
      <c r="B885" s="1" t="n">
        <v>45821.45783564815</v>
      </c>
      <c r="C885" s="1" t="n">
        <v>45952</v>
      </c>
      <c r="D885" t="inlineStr">
        <is>
          <t>VÄSTERBOTTENS LÄN</t>
        </is>
      </c>
      <c r="E885" t="inlineStr">
        <is>
          <t>LYCKSELE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28726-2025</t>
        </is>
      </c>
      <c r="B886" s="1" t="n">
        <v>45820</v>
      </c>
      <c r="C886" s="1" t="n">
        <v>45952</v>
      </c>
      <c r="D886" t="inlineStr">
        <is>
          <t>VÄSTERBOTTENS LÄN</t>
        </is>
      </c>
      <c r="E886" t="inlineStr">
        <is>
          <t>LYCKSELE</t>
        </is>
      </c>
      <c r="F886" t="inlineStr">
        <is>
          <t>SCA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28825-2025</t>
        </is>
      </c>
      <c r="B887" s="1" t="n">
        <v>45820.54582175926</v>
      </c>
      <c r="C887" s="1" t="n">
        <v>45952</v>
      </c>
      <c r="D887" t="inlineStr">
        <is>
          <t>VÄSTERBOTTENS LÄN</t>
        </is>
      </c>
      <c r="E887" t="inlineStr">
        <is>
          <t>LYCKSELE</t>
        </is>
      </c>
      <c r="F887" t="inlineStr">
        <is>
          <t>Sveaskog</t>
        </is>
      </c>
      <c r="G887" t="n">
        <v>11.9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28826-2025</t>
        </is>
      </c>
      <c r="B888" s="1" t="n">
        <v>45820.54883101852</v>
      </c>
      <c r="C888" s="1" t="n">
        <v>45952</v>
      </c>
      <c r="D888" t="inlineStr">
        <is>
          <t>VÄSTERBOTTENS LÄN</t>
        </is>
      </c>
      <c r="E888" t="inlineStr">
        <is>
          <t>LYCKSELE</t>
        </is>
      </c>
      <c r="F888" t="inlineStr">
        <is>
          <t>Sveaskog</t>
        </is>
      </c>
      <c r="G888" t="n">
        <v>5.7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29784-2025</t>
        </is>
      </c>
      <c r="B889" s="1" t="n">
        <v>45825.65462962963</v>
      </c>
      <c r="C889" s="1" t="n">
        <v>45952</v>
      </c>
      <c r="D889" t="inlineStr">
        <is>
          <t>VÄSTERBOTTENS LÄN</t>
        </is>
      </c>
      <c r="E889" t="inlineStr">
        <is>
          <t>LYCKSELE</t>
        </is>
      </c>
      <c r="F889" t="inlineStr">
        <is>
          <t>Holmen skog AB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29438-2025</t>
        </is>
      </c>
      <c r="B890" s="1" t="n">
        <v>45824.65788194445</v>
      </c>
      <c r="C890" s="1" t="n">
        <v>45952</v>
      </c>
      <c r="D890" t="inlineStr">
        <is>
          <t>VÄSTERBOTTENS LÄN</t>
        </is>
      </c>
      <c r="E890" t="inlineStr">
        <is>
          <t>LYCKSELE</t>
        </is>
      </c>
      <c r="G890" t="n">
        <v>4.5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41361-2023</t>
        </is>
      </c>
      <c r="B891" s="1" t="n">
        <v>45174</v>
      </c>
      <c r="C891" s="1" t="n">
        <v>45952</v>
      </c>
      <c r="D891" t="inlineStr">
        <is>
          <t>VÄSTERBOTTENS LÄN</t>
        </is>
      </c>
      <c r="E891" t="inlineStr">
        <is>
          <t>LYCKSELE</t>
        </is>
      </c>
      <c r="F891" t="inlineStr">
        <is>
          <t>Holmen skog AB</t>
        </is>
      </c>
      <c r="G891" t="n">
        <v>6.6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29195-2025</t>
        </is>
      </c>
      <c r="B892" s="1" t="n">
        <v>45822.96603009259</v>
      </c>
      <c r="C892" s="1" t="n">
        <v>45952</v>
      </c>
      <c r="D892" t="inlineStr">
        <is>
          <t>VÄSTERBOTTENS LÄN</t>
        </is>
      </c>
      <c r="E892" t="inlineStr">
        <is>
          <t>LYCKSELE</t>
        </is>
      </c>
      <c r="G892" t="n">
        <v>5.3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29236-2025</t>
        </is>
      </c>
      <c r="B893" s="1" t="n">
        <v>45824.34488425926</v>
      </c>
      <c r="C893" s="1" t="n">
        <v>45952</v>
      </c>
      <c r="D893" t="inlineStr">
        <is>
          <t>VÄSTERBOTTENS LÄN</t>
        </is>
      </c>
      <c r="E893" t="inlineStr">
        <is>
          <t>LYCKSELE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29235-2025</t>
        </is>
      </c>
      <c r="B894" s="1" t="n">
        <v>45824.34488425926</v>
      </c>
      <c r="C894" s="1" t="n">
        <v>45952</v>
      </c>
      <c r="D894" t="inlineStr">
        <is>
          <t>VÄSTERBOTTENS LÄN</t>
        </is>
      </c>
      <c r="E894" t="inlineStr">
        <is>
          <t>LYCKSELE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33713-2024</t>
        </is>
      </c>
      <c r="B895" s="1" t="n">
        <v>45520.53105324074</v>
      </c>
      <c r="C895" s="1" t="n">
        <v>45952</v>
      </c>
      <c r="D895" t="inlineStr">
        <is>
          <t>VÄSTERBOTTENS LÄN</t>
        </is>
      </c>
      <c r="E895" t="inlineStr">
        <is>
          <t>LYCKSELE</t>
        </is>
      </c>
      <c r="F895" t="inlineStr">
        <is>
          <t>Sveaskog</t>
        </is>
      </c>
      <c r="G895" t="n">
        <v>7.5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30101-2025</t>
        </is>
      </c>
      <c r="B896" s="1" t="n">
        <v>45826.68275462963</v>
      </c>
      <c r="C896" s="1" t="n">
        <v>45952</v>
      </c>
      <c r="D896" t="inlineStr">
        <is>
          <t>VÄSTERBOTTENS LÄN</t>
        </is>
      </c>
      <c r="E896" t="inlineStr">
        <is>
          <t>LYCKSELE</t>
        </is>
      </c>
      <c r="F896" t="inlineStr">
        <is>
          <t>Holmen skog AB</t>
        </is>
      </c>
      <c r="G896" t="n">
        <v>8.1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53614-2021</t>
        </is>
      </c>
      <c r="B897" s="1" t="n">
        <v>44469.38017361111</v>
      </c>
      <c r="C897" s="1" t="n">
        <v>45952</v>
      </c>
      <c r="D897" t="inlineStr">
        <is>
          <t>VÄSTERBOTTENS LÄN</t>
        </is>
      </c>
      <c r="E897" t="inlineStr">
        <is>
          <t>LYCKSELE</t>
        </is>
      </c>
      <c r="F897" t="inlineStr">
        <is>
          <t>Holmen skog AB</t>
        </is>
      </c>
      <c r="G897" t="n">
        <v>2.1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30258-2025</t>
        </is>
      </c>
      <c r="B898" s="1" t="n">
        <v>45827.42743055556</v>
      </c>
      <c r="C898" s="1" t="n">
        <v>45952</v>
      </c>
      <c r="D898" t="inlineStr">
        <is>
          <t>VÄSTERBOTTENS LÄN</t>
        </is>
      </c>
      <c r="E898" t="inlineStr">
        <is>
          <t>LYCKSELE</t>
        </is>
      </c>
      <c r="F898" t="inlineStr">
        <is>
          <t>Holmen skog AB</t>
        </is>
      </c>
      <c r="G898" t="n">
        <v>19.5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30426-2025</t>
        </is>
      </c>
      <c r="B899" s="1" t="n">
        <v>45827.61538194444</v>
      </c>
      <c r="C899" s="1" t="n">
        <v>45952</v>
      </c>
      <c r="D899" t="inlineStr">
        <is>
          <t>VÄSTERBOTTENS LÄN</t>
        </is>
      </c>
      <c r="E899" t="inlineStr">
        <is>
          <t>LYCKSELE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30336-2025</t>
        </is>
      </c>
      <c r="B900" s="1" t="n">
        <v>45827.51121527778</v>
      </c>
      <c r="C900" s="1" t="n">
        <v>45952</v>
      </c>
      <c r="D900" t="inlineStr">
        <is>
          <t>VÄSTERBOTTENS LÄN</t>
        </is>
      </c>
      <c r="E900" t="inlineStr">
        <is>
          <t>LYCKSELE</t>
        </is>
      </c>
      <c r="F900" t="inlineStr">
        <is>
          <t>SCA</t>
        </is>
      </c>
      <c r="G900" t="n">
        <v>5.2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30385-2025</t>
        </is>
      </c>
      <c r="B901" s="1" t="n">
        <v>45827.5730787037</v>
      </c>
      <c r="C901" s="1" t="n">
        <v>45952</v>
      </c>
      <c r="D901" t="inlineStr">
        <is>
          <t>VÄSTERBOTTENS LÄN</t>
        </is>
      </c>
      <c r="E901" t="inlineStr">
        <is>
          <t>LYCKSELE</t>
        </is>
      </c>
      <c r="F901" t="inlineStr">
        <is>
          <t>Sveaskog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30154-2025</t>
        </is>
      </c>
      <c r="B902" s="1" t="n">
        <v>45827.31850694444</v>
      </c>
      <c r="C902" s="1" t="n">
        <v>45952</v>
      </c>
      <c r="D902" t="inlineStr">
        <is>
          <t>VÄSTERBOTTENS LÄN</t>
        </is>
      </c>
      <c r="E902" t="inlineStr">
        <is>
          <t>LYCKSELE</t>
        </is>
      </c>
      <c r="G902" t="n">
        <v>3.7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60685-2022</t>
        </is>
      </c>
      <c r="B903" s="1" t="n">
        <v>44911</v>
      </c>
      <c r="C903" s="1" t="n">
        <v>45952</v>
      </c>
      <c r="D903" t="inlineStr">
        <is>
          <t>VÄSTERBOTTENS LÄN</t>
        </is>
      </c>
      <c r="E903" t="inlineStr">
        <is>
          <t>LYCKSELE</t>
        </is>
      </c>
      <c r="F903" t="inlineStr">
        <is>
          <t>SCA</t>
        </is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29866-2025</t>
        </is>
      </c>
      <c r="B904" s="1" t="n">
        <v>45826.35212962963</v>
      </c>
      <c r="C904" s="1" t="n">
        <v>45952</v>
      </c>
      <c r="D904" t="inlineStr">
        <is>
          <t>VÄSTERBOTTENS LÄN</t>
        </is>
      </c>
      <c r="E904" t="inlineStr">
        <is>
          <t>LYCKSELE</t>
        </is>
      </c>
      <c r="F904" t="inlineStr">
        <is>
          <t>Holmen skog AB</t>
        </is>
      </c>
      <c r="G904" t="n">
        <v>6.7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30624-2025</t>
        </is>
      </c>
      <c r="B905" s="1" t="n">
        <v>45831.4724074074</v>
      </c>
      <c r="C905" s="1" t="n">
        <v>45952</v>
      </c>
      <c r="D905" t="inlineStr">
        <is>
          <t>VÄSTERBOTTENS LÄN</t>
        </is>
      </c>
      <c r="E905" t="inlineStr">
        <is>
          <t>LYCKSELE</t>
        </is>
      </c>
      <c r="F905" t="inlineStr">
        <is>
          <t>Holmen skog AB</t>
        </is>
      </c>
      <c r="G905" t="n">
        <v>9.5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30656-2025</t>
        </is>
      </c>
      <c r="B906" s="1" t="n">
        <v>45831.50633101852</v>
      </c>
      <c r="C906" s="1" t="n">
        <v>45952</v>
      </c>
      <c r="D906" t="inlineStr">
        <is>
          <t>VÄSTERBOTTENS LÄN</t>
        </is>
      </c>
      <c r="E906" t="inlineStr">
        <is>
          <t>LYCKSELE</t>
        </is>
      </c>
      <c r="F906" t="inlineStr">
        <is>
          <t>Sveaskog</t>
        </is>
      </c>
      <c r="G906" t="n">
        <v>5.9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30623-2025</t>
        </is>
      </c>
      <c r="B907" s="1" t="n">
        <v>45831.47189814815</v>
      </c>
      <c r="C907" s="1" t="n">
        <v>45952</v>
      </c>
      <c r="D907" t="inlineStr">
        <is>
          <t>VÄSTERBOTTENS LÄN</t>
        </is>
      </c>
      <c r="E907" t="inlineStr">
        <is>
          <t>LYCKSELE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18674-2025</t>
        </is>
      </c>
      <c r="B908" s="1" t="n">
        <v>45763.59829861111</v>
      </c>
      <c r="C908" s="1" t="n">
        <v>45952</v>
      </c>
      <c r="D908" t="inlineStr">
        <is>
          <t>VÄSTERBOTTENS LÄN</t>
        </is>
      </c>
      <c r="E908" t="inlineStr">
        <is>
          <t>LYCKSELE</t>
        </is>
      </c>
      <c r="F908" t="inlineStr">
        <is>
          <t>Holmen skog AB</t>
        </is>
      </c>
      <c r="G908" t="n">
        <v>7.9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30573-2025</t>
        </is>
      </c>
      <c r="B909" s="1" t="n">
        <v>45831.41046296297</v>
      </c>
      <c r="C909" s="1" t="n">
        <v>45952</v>
      </c>
      <c r="D909" t="inlineStr">
        <is>
          <t>VÄSTERBOTTENS LÄN</t>
        </is>
      </c>
      <c r="E909" t="inlineStr">
        <is>
          <t>LYCKSELE</t>
        </is>
      </c>
      <c r="F909" t="inlineStr">
        <is>
          <t>Sveaskog</t>
        </is>
      </c>
      <c r="G909" t="n">
        <v>16.6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18705-2025</t>
        </is>
      </c>
      <c r="B910" s="1" t="n">
        <v>45763.63334490741</v>
      </c>
      <c r="C910" s="1" t="n">
        <v>45952</v>
      </c>
      <c r="D910" t="inlineStr">
        <is>
          <t>VÄSTERBOTTENS LÄN</t>
        </is>
      </c>
      <c r="E910" t="inlineStr">
        <is>
          <t>LYCKSELE</t>
        </is>
      </c>
      <c r="F910" t="inlineStr">
        <is>
          <t>Holmen skog AB</t>
        </is>
      </c>
      <c r="G910" t="n">
        <v>13.6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47807-2024</t>
        </is>
      </c>
      <c r="B911" s="1" t="n">
        <v>45588</v>
      </c>
      <c r="C911" s="1" t="n">
        <v>45952</v>
      </c>
      <c r="D911" t="inlineStr">
        <is>
          <t>VÄSTERBOTTENS LÄN</t>
        </is>
      </c>
      <c r="E911" t="inlineStr">
        <is>
          <t>LYCKSELE</t>
        </is>
      </c>
      <c r="G911" t="n">
        <v>0.4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30578-2025</t>
        </is>
      </c>
      <c r="B912" s="1" t="n">
        <v>45831.41945601852</v>
      </c>
      <c r="C912" s="1" t="n">
        <v>45952</v>
      </c>
      <c r="D912" t="inlineStr">
        <is>
          <t>VÄSTERBOTTENS LÄN</t>
        </is>
      </c>
      <c r="E912" t="inlineStr">
        <is>
          <t>LYCKSELE</t>
        </is>
      </c>
      <c r="F912" t="inlineStr">
        <is>
          <t>Sveaskog</t>
        </is>
      </c>
      <c r="G912" t="n">
        <v>17.8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42887-2024</t>
        </is>
      </c>
      <c r="B913" s="1" t="n">
        <v>45566.73494212963</v>
      </c>
      <c r="C913" s="1" t="n">
        <v>45952</v>
      </c>
      <c r="D913" t="inlineStr">
        <is>
          <t>VÄSTERBOTTENS LÄN</t>
        </is>
      </c>
      <c r="E913" t="inlineStr">
        <is>
          <t>LYCKSELE</t>
        </is>
      </c>
      <c r="G913" t="n">
        <v>0.5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10208-2024</t>
        </is>
      </c>
      <c r="B914" s="1" t="n">
        <v>45364</v>
      </c>
      <c r="C914" s="1" t="n">
        <v>45952</v>
      </c>
      <c r="D914" t="inlineStr">
        <is>
          <t>VÄSTERBOTTENS LÄN</t>
        </is>
      </c>
      <c r="E914" t="inlineStr">
        <is>
          <t>LYCKSELE</t>
        </is>
      </c>
      <c r="G914" t="n">
        <v>9.4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59174-2024</t>
        </is>
      </c>
      <c r="B915" s="1" t="n">
        <v>45637.49741898148</v>
      </c>
      <c r="C915" s="1" t="n">
        <v>45952</v>
      </c>
      <c r="D915" t="inlineStr">
        <is>
          <t>VÄSTERBOTTENS LÄN</t>
        </is>
      </c>
      <c r="E915" t="inlineStr">
        <is>
          <t>LYCKSELE</t>
        </is>
      </c>
      <c r="G915" t="n">
        <v>1.5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19531-2025</t>
        </is>
      </c>
      <c r="B916" s="1" t="n">
        <v>45770.46910879629</v>
      </c>
      <c r="C916" s="1" t="n">
        <v>45952</v>
      </c>
      <c r="D916" t="inlineStr">
        <is>
          <t>VÄSTERBOTTENS LÄN</t>
        </is>
      </c>
      <c r="E916" t="inlineStr">
        <is>
          <t>LYCKSELE</t>
        </is>
      </c>
      <c r="G916" t="n">
        <v>2.4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30632-2025</t>
        </is>
      </c>
      <c r="B917" s="1" t="n">
        <v>45831.4783912037</v>
      </c>
      <c r="C917" s="1" t="n">
        <v>45952</v>
      </c>
      <c r="D917" t="inlineStr">
        <is>
          <t>VÄSTERBOTTENS LÄN</t>
        </is>
      </c>
      <c r="E917" t="inlineStr">
        <is>
          <t>LYCKSELE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37271-2023</t>
        </is>
      </c>
      <c r="B918" s="1" t="n">
        <v>45155</v>
      </c>
      <c r="C918" s="1" t="n">
        <v>45952</v>
      </c>
      <c r="D918" t="inlineStr">
        <is>
          <t>VÄSTERBOTTENS LÄN</t>
        </is>
      </c>
      <c r="E918" t="inlineStr">
        <is>
          <t>LYCKSELE</t>
        </is>
      </c>
      <c r="F918" t="inlineStr">
        <is>
          <t>SCA</t>
        </is>
      </c>
      <c r="G918" t="n">
        <v>4.7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30865-2025</t>
        </is>
      </c>
      <c r="B919" s="1" t="n">
        <v>45832.3215162037</v>
      </c>
      <c r="C919" s="1" t="n">
        <v>45952</v>
      </c>
      <c r="D919" t="inlineStr">
        <is>
          <t>VÄSTERBOTTENS LÄN</t>
        </is>
      </c>
      <c r="E919" t="inlineStr">
        <is>
          <t>LYCKSELE</t>
        </is>
      </c>
      <c r="F919" t="inlineStr">
        <is>
          <t>Sveaskog</t>
        </is>
      </c>
      <c r="G919" t="n">
        <v>12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30906-2025</t>
        </is>
      </c>
      <c r="B920" s="1" t="n">
        <v>45832.36453703704</v>
      </c>
      <c r="C920" s="1" t="n">
        <v>45952</v>
      </c>
      <c r="D920" t="inlineStr">
        <is>
          <t>VÄSTERBOTTENS LÄN</t>
        </is>
      </c>
      <c r="E920" t="inlineStr">
        <is>
          <t>LYCKSELE</t>
        </is>
      </c>
      <c r="F920" t="inlineStr">
        <is>
          <t>Sveaskog</t>
        </is>
      </c>
      <c r="G920" t="n">
        <v>20.1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30901-2025</t>
        </is>
      </c>
      <c r="B921" s="1" t="n">
        <v>45832.35980324074</v>
      </c>
      <c r="C921" s="1" t="n">
        <v>45952</v>
      </c>
      <c r="D921" t="inlineStr">
        <is>
          <t>VÄSTERBOTTENS LÄN</t>
        </is>
      </c>
      <c r="E921" t="inlineStr">
        <is>
          <t>LYCKSELE</t>
        </is>
      </c>
      <c r="F921" t="inlineStr">
        <is>
          <t>Sveaskog</t>
        </is>
      </c>
      <c r="G921" t="n">
        <v>8.6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61506-2021</t>
        </is>
      </c>
      <c r="B922" s="1" t="n">
        <v>44501</v>
      </c>
      <c r="C922" s="1" t="n">
        <v>45952</v>
      </c>
      <c r="D922" t="inlineStr">
        <is>
          <t>VÄSTERBOTTENS LÄN</t>
        </is>
      </c>
      <c r="E922" t="inlineStr">
        <is>
          <t>LYCKSELE</t>
        </is>
      </c>
      <c r="F922" t="inlineStr">
        <is>
          <t>Sveaskog</t>
        </is>
      </c>
      <c r="G922" t="n">
        <v>6.4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60267-2022</t>
        </is>
      </c>
      <c r="B923" s="1" t="n">
        <v>44910</v>
      </c>
      <c r="C923" s="1" t="n">
        <v>45952</v>
      </c>
      <c r="D923" t="inlineStr">
        <is>
          <t>VÄSTERBOTTENS LÄN</t>
        </is>
      </c>
      <c r="E923" t="inlineStr">
        <is>
          <t>LYCKSELE</t>
        </is>
      </c>
      <c r="F923" t="inlineStr">
        <is>
          <t>Sveaskog</t>
        </is>
      </c>
      <c r="G923" t="n">
        <v>3.5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30864-2025</t>
        </is>
      </c>
      <c r="B924" s="1" t="n">
        <v>45832.31803240741</v>
      </c>
      <c r="C924" s="1" t="n">
        <v>45952</v>
      </c>
      <c r="D924" t="inlineStr">
        <is>
          <t>VÄSTERBOTTENS LÄN</t>
        </is>
      </c>
      <c r="E924" t="inlineStr">
        <is>
          <t>LYCKSELE</t>
        </is>
      </c>
      <c r="F924" t="inlineStr">
        <is>
          <t>Sveaskog</t>
        </is>
      </c>
      <c r="G924" t="n">
        <v>8.9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31044-2025</t>
        </is>
      </c>
      <c r="B925" s="1" t="n">
        <v>45832.55402777778</v>
      </c>
      <c r="C925" s="1" t="n">
        <v>45952</v>
      </c>
      <c r="D925" t="inlineStr">
        <is>
          <t>VÄSTERBOTTENS LÄN</t>
        </is>
      </c>
      <c r="E925" t="inlineStr">
        <is>
          <t>LYCKSELE</t>
        </is>
      </c>
      <c r="F925" t="inlineStr">
        <is>
          <t>Sveaskog</t>
        </is>
      </c>
      <c r="G925" t="n">
        <v>22.9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31022-2025</t>
        </is>
      </c>
      <c r="B926" s="1" t="n">
        <v>45832.51869212963</v>
      </c>
      <c r="C926" s="1" t="n">
        <v>45952</v>
      </c>
      <c r="D926" t="inlineStr">
        <is>
          <t>VÄSTERBOTTENS LÄN</t>
        </is>
      </c>
      <c r="E926" t="inlineStr">
        <is>
          <t>LYCKSELE</t>
        </is>
      </c>
      <c r="F926" t="inlineStr">
        <is>
          <t>Sveaskog</t>
        </is>
      </c>
      <c r="G926" t="n">
        <v>1.5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40115-2024</t>
        </is>
      </c>
      <c r="B927" s="1" t="n">
        <v>45554.4563425926</v>
      </c>
      <c r="C927" s="1" t="n">
        <v>45952</v>
      </c>
      <c r="D927" t="inlineStr">
        <is>
          <t>VÄSTERBOTTENS LÄN</t>
        </is>
      </c>
      <c r="E927" t="inlineStr">
        <is>
          <t>LYCKSELE</t>
        </is>
      </c>
      <c r="G927" t="n">
        <v>3.4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27495-2024</t>
        </is>
      </c>
      <c r="B928" s="1" t="n">
        <v>45474.4971875</v>
      </c>
      <c r="C928" s="1" t="n">
        <v>45952</v>
      </c>
      <c r="D928" t="inlineStr">
        <is>
          <t>VÄSTERBOTTENS LÄN</t>
        </is>
      </c>
      <c r="E928" t="inlineStr">
        <is>
          <t>LYCKSELE</t>
        </is>
      </c>
      <c r="F928" t="inlineStr">
        <is>
          <t>Sveaskog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31800-2025</t>
        </is>
      </c>
      <c r="B929" s="1" t="n">
        <v>45834.55274305555</v>
      </c>
      <c r="C929" s="1" t="n">
        <v>45952</v>
      </c>
      <c r="D929" t="inlineStr">
        <is>
          <t>VÄSTERBOTTENS LÄN</t>
        </is>
      </c>
      <c r="E929" t="inlineStr">
        <is>
          <t>LYCKSELE</t>
        </is>
      </c>
      <c r="F929" t="inlineStr">
        <is>
          <t>SCA</t>
        </is>
      </c>
      <c r="G929" t="n">
        <v>13.6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31693-2025</t>
        </is>
      </c>
      <c r="B930" s="1" t="n">
        <v>45834.40671296296</v>
      </c>
      <c r="C930" s="1" t="n">
        <v>45952</v>
      </c>
      <c r="D930" t="inlineStr">
        <is>
          <t>VÄSTERBOTTENS LÄN</t>
        </is>
      </c>
      <c r="E930" t="inlineStr">
        <is>
          <t>LYCKSELE</t>
        </is>
      </c>
      <c r="F930" t="inlineStr">
        <is>
          <t>SCA</t>
        </is>
      </c>
      <c r="G930" t="n">
        <v>18.9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32229-2025</t>
        </is>
      </c>
      <c r="B931" s="1" t="n">
        <v>45835.59662037037</v>
      </c>
      <c r="C931" s="1" t="n">
        <v>45952</v>
      </c>
      <c r="D931" t="inlineStr">
        <is>
          <t>VÄSTERBOTTENS LÄN</t>
        </is>
      </c>
      <c r="E931" t="inlineStr">
        <is>
          <t>LYCKSELE</t>
        </is>
      </c>
      <c r="F931" t="inlineStr">
        <is>
          <t>Sveaskog</t>
        </is>
      </c>
      <c r="G931" t="n">
        <v>4.6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31897-2025</t>
        </is>
      </c>
      <c r="B932" s="1" t="n">
        <v>45834.67758101852</v>
      </c>
      <c r="C932" s="1" t="n">
        <v>45952</v>
      </c>
      <c r="D932" t="inlineStr">
        <is>
          <t>VÄSTERBOTTENS LÄN</t>
        </is>
      </c>
      <c r="E932" t="inlineStr">
        <is>
          <t>LYCKSELE</t>
        </is>
      </c>
      <c r="F932" t="inlineStr">
        <is>
          <t>Holmen skog AB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31970-2025</t>
        </is>
      </c>
      <c r="B933" s="1" t="n">
        <v>45835.34858796297</v>
      </c>
      <c r="C933" s="1" t="n">
        <v>45952</v>
      </c>
      <c r="D933" t="inlineStr">
        <is>
          <t>VÄSTERBOTTENS LÄN</t>
        </is>
      </c>
      <c r="E933" t="inlineStr">
        <is>
          <t>LYCKSELE</t>
        </is>
      </c>
      <c r="G933" t="n">
        <v>2.3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32108-2025</t>
        </is>
      </c>
      <c r="B934" s="1" t="n">
        <v>45835.47898148148</v>
      </c>
      <c r="C934" s="1" t="n">
        <v>45952</v>
      </c>
      <c r="D934" t="inlineStr">
        <is>
          <t>VÄSTERBOTTENS LÄN</t>
        </is>
      </c>
      <c r="E934" t="inlineStr">
        <is>
          <t>LYCKSELE</t>
        </is>
      </c>
      <c r="F934" t="inlineStr">
        <is>
          <t>Holmen skog AB</t>
        </is>
      </c>
      <c r="G934" t="n">
        <v>24.3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32239-2025</t>
        </is>
      </c>
      <c r="B935" s="1" t="n">
        <v>45835.61503472222</v>
      </c>
      <c r="C935" s="1" t="n">
        <v>45952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SCA</t>
        </is>
      </c>
      <c r="G935" t="n">
        <v>3.2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31689-2023</t>
        </is>
      </c>
      <c r="B936" s="1" t="n">
        <v>45117</v>
      </c>
      <c r="C936" s="1" t="n">
        <v>45952</v>
      </c>
      <c r="D936" t="inlineStr">
        <is>
          <t>VÄSTERBOTTENS LÄN</t>
        </is>
      </c>
      <c r="E936" t="inlineStr">
        <is>
          <t>LYCKSELE</t>
        </is>
      </c>
      <c r="F936" t="inlineStr">
        <is>
          <t>Holmen skog AB</t>
        </is>
      </c>
      <c r="G936" t="n">
        <v>3.7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32752-2025</t>
        </is>
      </c>
      <c r="B937" s="1" t="n">
        <v>45839.42896990741</v>
      </c>
      <c r="C937" s="1" t="n">
        <v>45952</v>
      </c>
      <c r="D937" t="inlineStr">
        <is>
          <t>VÄSTERBOTTENS LÄN</t>
        </is>
      </c>
      <c r="E937" t="inlineStr">
        <is>
          <t>LYCKSELE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55923-2023</t>
        </is>
      </c>
      <c r="B938" s="1" t="n">
        <v>45239</v>
      </c>
      <c r="C938" s="1" t="n">
        <v>45952</v>
      </c>
      <c r="D938" t="inlineStr">
        <is>
          <t>VÄSTERBOTTENS LÄN</t>
        </is>
      </c>
      <c r="E938" t="inlineStr">
        <is>
          <t>LYCKSELE</t>
        </is>
      </c>
      <c r="F938" t="inlineStr">
        <is>
          <t>SCA</t>
        </is>
      </c>
      <c r="G938" t="n">
        <v>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32619-2025</t>
        </is>
      </c>
      <c r="B939" s="1" t="n">
        <v>45838.64458333333</v>
      </c>
      <c r="C939" s="1" t="n">
        <v>45952</v>
      </c>
      <c r="D939" t="inlineStr">
        <is>
          <t>VÄSTERBOTTENS LÄN</t>
        </is>
      </c>
      <c r="E939" t="inlineStr">
        <is>
          <t>LYCKSELE</t>
        </is>
      </c>
      <c r="G939" t="n">
        <v>4.3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32690-2024</t>
        </is>
      </c>
      <c r="B940" s="1" t="n">
        <v>45515.85923611111</v>
      </c>
      <c r="C940" s="1" t="n">
        <v>45952</v>
      </c>
      <c r="D940" t="inlineStr">
        <is>
          <t>VÄSTERBOTTENS LÄN</t>
        </is>
      </c>
      <c r="E940" t="inlineStr">
        <is>
          <t>LYCKSELE</t>
        </is>
      </c>
      <c r="G940" t="n">
        <v>2.1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36875-2023</t>
        </is>
      </c>
      <c r="B941" s="1" t="n">
        <v>45154</v>
      </c>
      <c r="C941" s="1" t="n">
        <v>45952</v>
      </c>
      <c r="D941" t="inlineStr">
        <is>
          <t>VÄSTERBOTTENS LÄN</t>
        </is>
      </c>
      <c r="E941" t="inlineStr">
        <is>
          <t>LYCKSELE</t>
        </is>
      </c>
      <c r="F941" t="inlineStr">
        <is>
          <t>Sveaskog</t>
        </is>
      </c>
      <c r="G941" t="n">
        <v>3.3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32941-2025</t>
        </is>
      </c>
      <c r="B942" s="1" t="n">
        <v>45839.67783564814</v>
      </c>
      <c r="C942" s="1" t="n">
        <v>45952</v>
      </c>
      <c r="D942" t="inlineStr">
        <is>
          <t>VÄSTERBOTTENS LÄN</t>
        </is>
      </c>
      <c r="E942" t="inlineStr">
        <is>
          <t>LYCKSELE</t>
        </is>
      </c>
      <c r="G942" t="n">
        <v>2.1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32454-2025</t>
        </is>
      </c>
      <c r="B943" s="1" t="n">
        <v>45838.40033564815</v>
      </c>
      <c r="C943" s="1" t="n">
        <v>45952</v>
      </c>
      <c r="D943" t="inlineStr">
        <is>
          <t>VÄSTERBOTTENS LÄN</t>
        </is>
      </c>
      <c r="E943" t="inlineStr">
        <is>
          <t>LYCKSELE</t>
        </is>
      </c>
      <c r="F943" t="inlineStr">
        <is>
          <t>Holmen skog AB</t>
        </is>
      </c>
      <c r="G943" t="n">
        <v>3.4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32614-2025</t>
        </is>
      </c>
      <c r="B944" s="1" t="n">
        <v>45838.64195601852</v>
      </c>
      <c r="C944" s="1" t="n">
        <v>45952</v>
      </c>
      <c r="D944" t="inlineStr">
        <is>
          <t>VÄSTERBOTTENS LÄN</t>
        </is>
      </c>
      <c r="E944" t="inlineStr">
        <is>
          <t>LYCKSELE</t>
        </is>
      </c>
      <c r="G944" t="n">
        <v>10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32722-2025</t>
        </is>
      </c>
      <c r="B945" s="1" t="n">
        <v>45839.38622685185</v>
      </c>
      <c r="C945" s="1" t="n">
        <v>45952</v>
      </c>
      <c r="D945" t="inlineStr">
        <is>
          <t>VÄSTERBOTTENS LÄN</t>
        </is>
      </c>
      <c r="E945" t="inlineStr">
        <is>
          <t>LYCKSELE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32409-2025</t>
        </is>
      </c>
      <c r="B946" s="1" t="n">
        <v>45838.33060185185</v>
      </c>
      <c r="C946" s="1" t="n">
        <v>45952</v>
      </c>
      <c r="D946" t="inlineStr">
        <is>
          <t>VÄSTERBOTTENS LÄN</t>
        </is>
      </c>
      <c r="E946" t="inlineStr">
        <is>
          <t>LYCKSELE</t>
        </is>
      </c>
      <c r="F946" t="inlineStr">
        <is>
          <t>Holmen skog AB</t>
        </is>
      </c>
      <c r="G946" t="n">
        <v>3.2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32487-2025</t>
        </is>
      </c>
      <c r="B947" s="1" t="n">
        <v>45838.44355324074</v>
      </c>
      <c r="C947" s="1" t="n">
        <v>45952</v>
      </c>
      <c r="D947" t="inlineStr">
        <is>
          <t>VÄSTERBOTTENS LÄN</t>
        </is>
      </c>
      <c r="E947" t="inlineStr">
        <is>
          <t>LYCKSELE</t>
        </is>
      </c>
      <c r="F947" t="inlineStr">
        <is>
          <t>Holmen skog AB</t>
        </is>
      </c>
      <c r="G947" t="n">
        <v>3.3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32431-2025</t>
        </is>
      </c>
      <c r="B948" s="1" t="n">
        <v>45838.36606481481</v>
      </c>
      <c r="C948" s="1" t="n">
        <v>45952</v>
      </c>
      <c r="D948" t="inlineStr">
        <is>
          <t>VÄSTERBOTTENS LÄN</t>
        </is>
      </c>
      <c r="E948" t="inlineStr">
        <is>
          <t>LYCKSELE</t>
        </is>
      </c>
      <c r="F948" t="inlineStr">
        <is>
          <t>Holmen skog AB</t>
        </is>
      </c>
      <c r="G948" t="n">
        <v>6.6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32783-2025</t>
        </is>
      </c>
      <c r="B949" s="1" t="n">
        <v>45839.47989583333</v>
      </c>
      <c r="C949" s="1" t="n">
        <v>45952</v>
      </c>
      <c r="D949" t="inlineStr">
        <is>
          <t>VÄSTERBOTTENS LÄN</t>
        </is>
      </c>
      <c r="E949" t="inlineStr">
        <is>
          <t>LYCKSELE</t>
        </is>
      </c>
      <c r="G949" t="n">
        <v>4.5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45708-2024</t>
        </is>
      </c>
      <c r="B950" s="1" t="n">
        <v>45579.5771875</v>
      </c>
      <c r="C950" s="1" t="n">
        <v>45952</v>
      </c>
      <c r="D950" t="inlineStr">
        <is>
          <t>VÄSTERBOTTENS LÄN</t>
        </is>
      </c>
      <c r="E950" t="inlineStr">
        <is>
          <t>LYCKSELE</t>
        </is>
      </c>
      <c r="G950" t="n">
        <v>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10331-2023</t>
        </is>
      </c>
      <c r="B951" s="1" t="n">
        <v>44980</v>
      </c>
      <c r="C951" s="1" t="n">
        <v>45952</v>
      </c>
      <c r="D951" t="inlineStr">
        <is>
          <t>VÄSTERBOTTENS LÄN</t>
        </is>
      </c>
      <c r="E951" t="inlineStr">
        <is>
          <t>LYCKSELE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55315-2024</t>
        </is>
      </c>
      <c r="B952" s="1" t="n">
        <v>45621.6587037037</v>
      </c>
      <c r="C952" s="1" t="n">
        <v>45952</v>
      </c>
      <c r="D952" t="inlineStr">
        <is>
          <t>VÄSTERBOTTENS LÄN</t>
        </is>
      </c>
      <c r="E952" t="inlineStr">
        <is>
          <t>LYCKSELE</t>
        </is>
      </c>
      <c r="G952" t="n">
        <v>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33527-2025</t>
        </is>
      </c>
      <c r="B953" s="1" t="n">
        <v>45841.54920138889</v>
      </c>
      <c r="C953" s="1" t="n">
        <v>45952</v>
      </c>
      <c r="D953" t="inlineStr">
        <is>
          <t>VÄSTERBOTTENS LÄN</t>
        </is>
      </c>
      <c r="E953" t="inlineStr">
        <is>
          <t>LYCKSELE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51943-2023</t>
        </is>
      </c>
      <c r="B954" s="1" t="n">
        <v>45223</v>
      </c>
      <c r="C954" s="1" t="n">
        <v>45952</v>
      </c>
      <c r="D954" t="inlineStr">
        <is>
          <t>VÄSTERBOTTENS LÄN</t>
        </is>
      </c>
      <c r="E954" t="inlineStr">
        <is>
          <t>LYCKSELE</t>
        </is>
      </c>
      <c r="G954" t="n">
        <v>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33453-2025</t>
        </is>
      </c>
      <c r="B955" s="1" t="n">
        <v>45841.46954861111</v>
      </c>
      <c r="C955" s="1" t="n">
        <v>45952</v>
      </c>
      <c r="D955" t="inlineStr">
        <is>
          <t>VÄSTERBOTTENS LÄN</t>
        </is>
      </c>
      <c r="E955" t="inlineStr">
        <is>
          <t>LYCKSELE</t>
        </is>
      </c>
      <c r="F955" t="inlineStr">
        <is>
          <t>SCA</t>
        </is>
      </c>
      <c r="G955" t="n">
        <v>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33415-2025</t>
        </is>
      </c>
      <c r="B956" s="1" t="n">
        <v>45841.4374537037</v>
      </c>
      <c r="C956" s="1" t="n">
        <v>45952</v>
      </c>
      <c r="D956" t="inlineStr">
        <is>
          <t>VÄSTERBOTTENS LÄN</t>
        </is>
      </c>
      <c r="E956" t="inlineStr">
        <is>
          <t>LYCKSELE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38250-2023</t>
        </is>
      </c>
      <c r="B957" s="1" t="n">
        <v>45161.58166666667</v>
      </c>
      <c r="C957" s="1" t="n">
        <v>45952</v>
      </c>
      <c r="D957" t="inlineStr">
        <is>
          <t>VÄSTERBOTTENS LÄN</t>
        </is>
      </c>
      <c r="E957" t="inlineStr">
        <is>
          <t>LYCKSELE</t>
        </is>
      </c>
      <c r="G957" t="n">
        <v>2.5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33381-2025</t>
        </is>
      </c>
      <c r="B958" s="1" t="n">
        <v>45841.40428240741</v>
      </c>
      <c r="C958" s="1" t="n">
        <v>45952</v>
      </c>
      <c r="D958" t="inlineStr">
        <is>
          <t>VÄSTERBOTTENS LÄN</t>
        </is>
      </c>
      <c r="E958" t="inlineStr">
        <is>
          <t>LYCKSELE</t>
        </is>
      </c>
      <c r="F958" t="inlineStr">
        <is>
          <t>Holmen skog AB</t>
        </is>
      </c>
      <c r="G958" t="n">
        <v>11.6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33467-2025</t>
        </is>
      </c>
      <c r="B959" s="1" t="n">
        <v>45841.48503472222</v>
      </c>
      <c r="C959" s="1" t="n">
        <v>45952</v>
      </c>
      <c r="D959" t="inlineStr">
        <is>
          <t>VÄSTERBOTTENS LÄN</t>
        </is>
      </c>
      <c r="E959" t="inlineStr">
        <is>
          <t>LYCKSELE</t>
        </is>
      </c>
      <c r="F959" t="inlineStr">
        <is>
          <t>Holmen skog AB</t>
        </is>
      </c>
      <c r="G959" t="n">
        <v>4.3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33052-2025</t>
        </is>
      </c>
      <c r="B960" s="1" t="n">
        <v>45840.42515046296</v>
      </c>
      <c r="C960" s="1" t="n">
        <v>45952</v>
      </c>
      <c r="D960" t="inlineStr">
        <is>
          <t>VÄSTERBOTTENS LÄN</t>
        </is>
      </c>
      <c r="E960" t="inlineStr">
        <is>
          <t>LYCKSELE</t>
        </is>
      </c>
      <c r="F960" t="inlineStr">
        <is>
          <t>Sveaskog</t>
        </is>
      </c>
      <c r="G960" t="n">
        <v>13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33346-2025</t>
        </is>
      </c>
      <c r="B961" s="1" t="n">
        <v>45841.36670138889</v>
      </c>
      <c r="C961" s="1" t="n">
        <v>45952</v>
      </c>
      <c r="D961" t="inlineStr">
        <is>
          <t>VÄSTERBOTTENS LÄN</t>
        </is>
      </c>
      <c r="E961" t="inlineStr">
        <is>
          <t>LYCKSELE</t>
        </is>
      </c>
      <c r="F961" t="inlineStr">
        <is>
          <t>Sveaskog</t>
        </is>
      </c>
      <c r="G961" t="n">
        <v>7.8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33067-2025</t>
        </is>
      </c>
      <c r="B962" s="1" t="n">
        <v>45840.44748842593</v>
      </c>
      <c r="C962" s="1" t="n">
        <v>45952</v>
      </c>
      <c r="D962" t="inlineStr">
        <is>
          <t>VÄSTERBOTTENS LÄN</t>
        </is>
      </c>
      <c r="E962" t="inlineStr">
        <is>
          <t>LYCKSELE</t>
        </is>
      </c>
      <c r="G962" t="n">
        <v>4.6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33431-2025</t>
        </is>
      </c>
      <c r="B963" s="1" t="n">
        <v>45841.44836805556</v>
      </c>
      <c r="C963" s="1" t="n">
        <v>45952</v>
      </c>
      <c r="D963" t="inlineStr">
        <is>
          <t>VÄSTERBOTTENS LÄN</t>
        </is>
      </c>
      <c r="E963" t="inlineStr">
        <is>
          <t>LYCKSELE</t>
        </is>
      </c>
      <c r="G963" t="n">
        <v>0.1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33423-2025</t>
        </is>
      </c>
      <c r="B964" s="1" t="n">
        <v>45841.44326388889</v>
      </c>
      <c r="C964" s="1" t="n">
        <v>45952</v>
      </c>
      <c r="D964" t="inlineStr">
        <is>
          <t>VÄSTERBOTTENS LÄN</t>
        </is>
      </c>
      <c r="E964" t="inlineStr">
        <is>
          <t>LYCKSELE</t>
        </is>
      </c>
      <c r="G964" t="n">
        <v>0.6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11199-2024</t>
        </is>
      </c>
      <c r="B965" s="1" t="n">
        <v>45371.55444444445</v>
      </c>
      <c r="C965" s="1" t="n">
        <v>45952</v>
      </c>
      <c r="D965" t="inlineStr">
        <is>
          <t>VÄSTERBOTTENS LÄN</t>
        </is>
      </c>
      <c r="E965" t="inlineStr">
        <is>
          <t>LYCKSELE</t>
        </is>
      </c>
      <c r="F965" t="inlineStr">
        <is>
          <t>Holmen skog AB</t>
        </is>
      </c>
      <c r="G965" t="n">
        <v>55.8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33991-2025</t>
        </is>
      </c>
      <c r="B966" s="1" t="n">
        <v>45843.60467592593</v>
      </c>
      <c r="C966" s="1" t="n">
        <v>45952</v>
      </c>
      <c r="D966" t="inlineStr">
        <is>
          <t>VÄSTERBOTTENS LÄN</t>
        </is>
      </c>
      <c r="E966" t="inlineStr">
        <is>
          <t>LYCKSELE</t>
        </is>
      </c>
      <c r="F966" t="inlineStr">
        <is>
          <t>Sveaskog</t>
        </is>
      </c>
      <c r="G966" t="n">
        <v>1.7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34017-2025</t>
        </is>
      </c>
      <c r="B967" s="1" t="n">
        <v>45845.33821759259</v>
      </c>
      <c r="C967" s="1" t="n">
        <v>45952</v>
      </c>
      <c r="D967" t="inlineStr">
        <is>
          <t>VÄSTERBOTTENS LÄN</t>
        </is>
      </c>
      <c r="E967" t="inlineStr">
        <is>
          <t>LYCKSELE</t>
        </is>
      </c>
      <c r="F967" t="inlineStr">
        <is>
          <t>Sveaskog</t>
        </is>
      </c>
      <c r="G967" t="n">
        <v>2.1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37984-2021</t>
        </is>
      </c>
      <c r="B968" s="1" t="n">
        <v>44403</v>
      </c>
      <c r="C968" s="1" t="n">
        <v>45952</v>
      </c>
      <c r="D968" t="inlineStr">
        <is>
          <t>VÄSTERBOTTENS LÄN</t>
        </is>
      </c>
      <c r="E968" t="inlineStr">
        <is>
          <t>LYCKSELE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33715-2024</t>
        </is>
      </c>
      <c r="B969" s="1" t="n">
        <v>45520.53451388889</v>
      </c>
      <c r="C969" s="1" t="n">
        <v>45952</v>
      </c>
      <c r="D969" t="inlineStr">
        <is>
          <t>VÄSTERBOTTENS LÄN</t>
        </is>
      </c>
      <c r="E969" t="inlineStr">
        <is>
          <t>LYCKSELE</t>
        </is>
      </c>
      <c r="F969" t="inlineStr">
        <is>
          <t>Sveaskog</t>
        </is>
      </c>
      <c r="G969" t="n">
        <v>10.1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49130-2024</t>
        </is>
      </c>
      <c r="B970" s="1" t="n">
        <v>45594</v>
      </c>
      <c r="C970" s="1" t="n">
        <v>45952</v>
      </c>
      <c r="D970" t="inlineStr">
        <is>
          <t>VÄSTERBOTTENS LÄN</t>
        </is>
      </c>
      <c r="E970" t="inlineStr">
        <is>
          <t>LYCKSELE</t>
        </is>
      </c>
      <c r="F970" t="inlineStr">
        <is>
          <t>Sveaskog</t>
        </is>
      </c>
      <c r="G970" t="n">
        <v>3.5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61094-2023</t>
        </is>
      </c>
      <c r="B971" s="1" t="n">
        <v>45261</v>
      </c>
      <c r="C971" s="1" t="n">
        <v>45952</v>
      </c>
      <c r="D971" t="inlineStr">
        <is>
          <t>VÄSTERBOTTENS LÄN</t>
        </is>
      </c>
      <c r="E971" t="inlineStr">
        <is>
          <t>LYCKSELE</t>
        </is>
      </c>
      <c r="G971" t="n">
        <v>0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1812-2024</t>
        </is>
      </c>
      <c r="B972" s="1" t="n">
        <v>45307</v>
      </c>
      <c r="C972" s="1" t="n">
        <v>45952</v>
      </c>
      <c r="D972" t="inlineStr">
        <is>
          <t>VÄSTERBOTTENS LÄN</t>
        </is>
      </c>
      <c r="E972" t="inlineStr">
        <is>
          <t>LYCKSELE</t>
        </is>
      </c>
      <c r="F972" t="inlineStr">
        <is>
          <t>Sveaskog</t>
        </is>
      </c>
      <c r="G972" t="n">
        <v>14.9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55087-2024</t>
        </is>
      </c>
      <c r="B973" s="1" t="n">
        <v>45621.43199074074</v>
      </c>
      <c r="C973" s="1" t="n">
        <v>45952</v>
      </c>
      <c r="D973" t="inlineStr">
        <is>
          <t>VÄSTERBOTTENS LÄN</t>
        </is>
      </c>
      <c r="E973" t="inlineStr">
        <is>
          <t>LYCKSELE</t>
        </is>
      </c>
      <c r="F973" t="inlineStr">
        <is>
          <t>Sveaskog</t>
        </is>
      </c>
      <c r="G973" t="n">
        <v>5.2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21668-2024</t>
        </is>
      </c>
      <c r="B974" s="1" t="n">
        <v>45441.85773148148</v>
      </c>
      <c r="C974" s="1" t="n">
        <v>45952</v>
      </c>
      <c r="D974" t="inlineStr">
        <is>
          <t>VÄSTERBOTTENS LÄN</t>
        </is>
      </c>
      <c r="E974" t="inlineStr">
        <is>
          <t>LYCKSELE</t>
        </is>
      </c>
      <c r="G974" t="n">
        <v>0.4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12336-2024</t>
        </is>
      </c>
      <c r="B975" s="1" t="n">
        <v>45378</v>
      </c>
      <c r="C975" s="1" t="n">
        <v>45952</v>
      </c>
      <c r="D975" t="inlineStr">
        <is>
          <t>VÄSTERBOTTENS LÄN</t>
        </is>
      </c>
      <c r="E975" t="inlineStr">
        <is>
          <t>LYCKSELE</t>
        </is>
      </c>
      <c r="G975" t="n">
        <v>1.1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33966-2025</t>
        </is>
      </c>
      <c r="B976" s="1" t="n">
        <v>45842.75030092592</v>
      </c>
      <c r="C976" s="1" t="n">
        <v>45952</v>
      </c>
      <c r="D976" t="inlineStr">
        <is>
          <t>VÄSTERBOTTENS LÄN</t>
        </is>
      </c>
      <c r="E976" t="inlineStr">
        <is>
          <t>LYCKSELE</t>
        </is>
      </c>
      <c r="G976" t="n">
        <v>12.5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33992-2025</t>
        </is>
      </c>
      <c r="B977" s="1" t="n">
        <v>45843.61037037037</v>
      </c>
      <c r="C977" s="1" t="n">
        <v>45952</v>
      </c>
      <c r="D977" t="inlineStr">
        <is>
          <t>VÄSTERBOTTENS LÄN</t>
        </is>
      </c>
      <c r="E977" t="inlineStr">
        <is>
          <t>LYCKSELE</t>
        </is>
      </c>
      <c r="F977" t="inlineStr">
        <is>
          <t>Sveaskog</t>
        </is>
      </c>
      <c r="G977" t="n">
        <v>1.2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26717-2024</t>
        </is>
      </c>
      <c r="B978" s="1" t="n">
        <v>45470.40854166666</v>
      </c>
      <c r="C978" s="1" t="n">
        <v>45952</v>
      </c>
      <c r="D978" t="inlineStr">
        <is>
          <t>VÄSTERBOTTENS LÄN</t>
        </is>
      </c>
      <c r="E978" t="inlineStr">
        <is>
          <t>LYCKSELE</t>
        </is>
      </c>
      <c r="F978" t="inlineStr">
        <is>
          <t>Sveaskog</t>
        </is>
      </c>
      <c r="G978" t="n">
        <v>2.8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34110-2025</t>
        </is>
      </c>
      <c r="B979" s="1" t="n">
        <v>45845.49877314815</v>
      </c>
      <c r="C979" s="1" t="n">
        <v>45952</v>
      </c>
      <c r="D979" t="inlineStr">
        <is>
          <t>VÄSTERBOTTENS LÄN</t>
        </is>
      </c>
      <c r="E979" t="inlineStr">
        <is>
          <t>LYCKSELE</t>
        </is>
      </c>
      <c r="F979" t="inlineStr">
        <is>
          <t>Holmen skog AB</t>
        </is>
      </c>
      <c r="G979" t="n">
        <v>2.7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34465-2025</t>
        </is>
      </c>
      <c r="B980" s="1" t="n">
        <v>45847.34548611111</v>
      </c>
      <c r="C980" s="1" t="n">
        <v>45952</v>
      </c>
      <c r="D980" t="inlineStr">
        <is>
          <t>VÄSTERBOTTENS LÄN</t>
        </is>
      </c>
      <c r="E980" t="inlineStr">
        <is>
          <t>LYCKSELE</t>
        </is>
      </c>
      <c r="F980" t="inlineStr">
        <is>
          <t>SCA</t>
        </is>
      </c>
      <c r="G980" t="n">
        <v>26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34504-2025</t>
        </is>
      </c>
      <c r="B981" s="1" t="n">
        <v>45847.43788194445</v>
      </c>
      <c r="C981" s="1" t="n">
        <v>45952</v>
      </c>
      <c r="D981" t="inlineStr">
        <is>
          <t>VÄSTERBOTTENS LÄN</t>
        </is>
      </c>
      <c r="E981" t="inlineStr">
        <is>
          <t>LYCKSELE</t>
        </is>
      </c>
      <c r="F981" t="inlineStr">
        <is>
          <t>Holmen skog AB</t>
        </is>
      </c>
      <c r="G981" t="n">
        <v>2.4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10485-2023</t>
        </is>
      </c>
      <c r="B982" s="1" t="n">
        <v>44981</v>
      </c>
      <c r="C982" s="1" t="n">
        <v>45952</v>
      </c>
      <c r="D982" t="inlineStr">
        <is>
          <t>VÄSTERBOTTENS LÄN</t>
        </is>
      </c>
      <c r="E982" t="inlineStr">
        <is>
          <t>LYCKSELE</t>
        </is>
      </c>
      <c r="F982" t="inlineStr">
        <is>
          <t>Sveaskog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31251-2024</t>
        </is>
      </c>
      <c r="B983" s="1" t="n">
        <v>45503.65972222222</v>
      </c>
      <c r="C983" s="1" t="n">
        <v>45952</v>
      </c>
      <c r="D983" t="inlineStr">
        <is>
          <t>VÄSTERBOTTENS LÄN</t>
        </is>
      </c>
      <c r="E983" t="inlineStr">
        <is>
          <t>LYCKSELE</t>
        </is>
      </c>
      <c r="F983" t="inlineStr">
        <is>
          <t>Sveaskog</t>
        </is>
      </c>
      <c r="G983" t="n">
        <v>7.4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34905-2025</t>
        </is>
      </c>
      <c r="B984" s="1" t="n">
        <v>45849.51625</v>
      </c>
      <c r="C984" s="1" t="n">
        <v>45952</v>
      </c>
      <c r="D984" t="inlineStr">
        <is>
          <t>VÄSTERBOTTENS LÄN</t>
        </is>
      </c>
      <c r="E984" t="inlineStr">
        <is>
          <t>LYCKSELE</t>
        </is>
      </c>
      <c r="F984" t="inlineStr">
        <is>
          <t>Sveaskog</t>
        </is>
      </c>
      <c r="G984" t="n">
        <v>6.9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34924-2025</t>
        </is>
      </c>
      <c r="B985" s="1" t="n">
        <v>45849.55733796296</v>
      </c>
      <c r="C985" s="1" t="n">
        <v>45952</v>
      </c>
      <c r="D985" t="inlineStr">
        <is>
          <t>VÄSTERBOTTENS LÄN</t>
        </is>
      </c>
      <c r="E985" t="inlineStr">
        <is>
          <t>LYCKSELE</t>
        </is>
      </c>
      <c r="F985" t="inlineStr">
        <is>
          <t>Sveaskog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34918-2025</t>
        </is>
      </c>
      <c r="B986" s="1" t="n">
        <v>45849.54935185185</v>
      </c>
      <c r="C986" s="1" t="n">
        <v>45952</v>
      </c>
      <c r="D986" t="inlineStr">
        <is>
          <t>VÄSTERBOTTENS LÄN</t>
        </is>
      </c>
      <c r="E986" t="inlineStr">
        <is>
          <t>LYCKSELE</t>
        </is>
      </c>
      <c r="F986" t="inlineStr">
        <is>
          <t>Sveaskog</t>
        </is>
      </c>
      <c r="G986" t="n">
        <v>9.300000000000001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34940-2025</t>
        </is>
      </c>
      <c r="B987" s="1" t="n">
        <v>45849.58274305556</v>
      </c>
      <c r="C987" s="1" t="n">
        <v>45952</v>
      </c>
      <c r="D987" t="inlineStr">
        <is>
          <t>VÄSTERBOTTENS LÄN</t>
        </is>
      </c>
      <c r="E987" t="inlineStr">
        <is>
          <t>LYCKSELE</t>
        </is>
      </c>
      <c r="F987" t="inlineStr">
        <is>
          <t>Sveaskog</t>
        </is>
      </c>
      <c r="G987" t="n">
        <v>7.2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34961-2025</t>
        </is>
      </c>
      <c r="B988" s="1" t="n">
        <v>45849.62559027778</v>
      </c>
      <c r="C988" s="1" t="n">
        <v>45952</v>
      </c>
      <c r="D988" t="inlineStr">
        <is>
          <t>VÄSTERBOTTENS LÄN</t>
        </is>
      </c>
      <c r="E988" t="inlineStr">
        <is>
          <t>LYCKSELE</t>
        </is>
      </c>
      <c r="F988" t="inlineStr">
        <is>
          <t>Sveaskog</t>
        </is>
      </c>
      <c r="G988" t="n">
        <v>10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33400-2023</t>
        </is>
      </c>
      <c r="B989" s="1" t="n">
        <v>45128.64351851852</v>
      </c>
      <c r="C989" s="1" t="n">
        <v>45952</v>
      </c>
      <c r="D989" t="inlineStr">
        <is>
          <t>VÄSTERBOTTENS LÄN</t>
        </is>
      </c>
      <c r="E989" t="inlineStr">
        <is>
          <t>LYCKSELE</t>
        </is>
      </c>
      <c r="F989" t="inlineStr">
        <is>
          <t>Holmen skog AB</t>
        </is>
      </c>
      <c r="G989" t="n">
        <v>3.3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34954-2025</t>
        </is>
      </c>
      <c r="B990" s="1" t="n">
        <v>45849.60525462963</v>
      </c>
      <c r="C990" s="1" t="n">
        <v>45952</v>
      </c>
      <c r="D990" t="inlineStr">
        <is>
          <t>VÄSTERBOTTENS LÄN</t>
        </is>
      </c>
      <c r="E990" t="inlineStr">
        <is>
          <t>LYCKSELE</t>
        </is>
      </c>
      <c r="F990" t="inlineStr">
        <is>
          <t>Holmen skog AB</t>
        </is>
      </c>
      <c r="G990" t="n">
        <v>1.9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34863-2025</t>
        </is>
      </c>
      <c r="B991" s="1" t="n">
        <v>45849</v>
      </c>
      <c r="C991" s="1" t="n">
        <v>45952</v>
      </c>
      <c r="D991" t="inlineStr">
        <is>
          <t>VÄSTERBOTTENS LÄN</t>
        </is>
      </c>
      <c r="E991" t="inlineStr">
        <is>
          <t>LYCKSELE</t>
        </is>
      </c>
      <c r="G991" t="n">
        <v>2.6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34915-2025</t>
        </is>
      </c>
      <c r="B992" s="1" t="n">
        <v>45849.54143518519</v>
      </c>
      <c r="C992" s="1" t="n">
        <v>45952</v>
      </c>
      <c r="D992" t="inlineStr">
        <is>
          <t>VÄSTERBOTTENS LÄN</t>
        </is>
      </c>
      <c r="E992" t="inlineStr">
        <is>
          <t>LYCKSELE</t>
        </is>
      </c>
      <c r="F992" t="inlineStr">
        <is>
          <t>Sveaskog</t>
        </is>
      </c>
      <c r="G992" t="n">
        <v>6.5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34896-2025</t>
        </is>
      </c>
      <c r="B993" s="1" t="n">
        <v>45849.49472222223</v>
      </c>
      <c r="C993" s="1" t="n">
        <v>45952</v>
      </c>
      <c r="D993" t="inlineStr">
        <is>
          <t>VÄSTERBOTTENS LÄN</t>
        </is>
      </c>
      <c r="E993" t="inlineStr">
        <is>
          <t>LYCKSELE</t>
        </is>
      </c>
      <c r="F993" t="inlineStr">
        <is>
          <t>Sveaskog</t>
        </is>
      </c>
      <c r="G993" t="n">
        <v>19.6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34955-2025</t>
        </is>
      </c>
      <c r="B994" s="1" t="n">
        <v>45849.60534722222</v>
      </c>
      <c r="C994" s="1" t="n">
        <v>45952</v>
      </c>
      <c r="D994" t="inlineStr">
        <is>
          <t>VÄSTERBOTTENS LÄN</t>
        </is>
      </c>
      <c r="E994" t="inlineStr">
        <is>
          <t>LYCKSELE</t>
        </is>
      </c>
      <c r="F994" t="inlineStr">
        <is>
          <t>Sveaskog</t>
        </is>
      </c>
      <c r="G994" t="n">
        <v>9.4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34849-2025</t>
        </is>
      </c>
      <c r="B995" s="1" t="n">
        <v>45849</v>
      </c>
      <c r="C995" s="1" t="n">
        <v>45952</v>
      </c>
      <c r="D995" t="inlineStr">
        <is>
          <t>VÄSTERBOTTENS LÄN</t>
        </is>
      </c>
      <c r="E995" t="inlineStr">
        <is>
          <t>LYCKSELE</t>
        </is>
      </c>
      <c r="G995" t="n">
        <v>9.800000000000001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34946-2025</t>
        </is>
      </c>
      <c r="B996" s="1" t="n">
        <v>45849.59119212963</v>
      </c>
      <c r="C996" s="1" t="n">
        <v>45952</v>
      </c>
      <c r="D996" t="inlineStr">
        <is>
          <t>VÄSTERBOTTENS LÄN</t>
        </is>
      </c>
      <c r="E996" t="inlineStr">
        <is>
          <t>LYCKSELE</t>
        </is>
      </c>
      <c r="F996" t="inlineStr">
        <is>
          <t>Sveaskog</t>
        </is>
      </c>
      <c r="G996" t="n">
        <v>15.2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34926-2025</t>
        </is>
      </c>
      <c r="B997" s="1" t="n">
        <v>45849.55927083334</v>
      </c>
      <c r="C997" s="1" t="n">
        <v>45952</v>
      </c>
      <c r="D997" t="inlineStr">
        <is>
          <t>VÄSTERBOTTENS LÄN</t>
        </is>
      </c>
      <c r="E997" t="inlineStr">
        <is>
          <t>LYCKSELE</t>
        </is>
      </c>
      <c r="F997" t="inlineStr">
        <is>
          <t>Sveaskog</t>
        </is>
      </c>
      <c r="G997" t="n">
        <v>12.4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55456-2022</t>
        </is>
      </c>
      <c r="B998" s="1" t="n">
        <v>44887</v>
      </c>
      <c r="C998" s="1" t="n">
        <v>45952</v>
      </c>
      <c r="D998" t="inlineStr">
        <is>
          <t>VÄSTERBOTTENS LÄN</t>
        </is>
      </c>
      <c r="E998" t="inlineStr">
        <is>
          <t>LYCKSELE</t>
        </is>
      </c>
      <c r="F998" t="inlineStr">
        <is>
          <t>Holmen skog AB</t>
        </is>
      </c>
      <c r="G998" t="n">
        <v>3.2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35242-2025</t>
        </is>
      </c>
      <c r="B999" s="1" t="n">
        <v>45853.62052083333</v>
      </c>
      <c r="C999" s="1" t="n">
        <v>45952</v>
      </c>
      <c r="D999" t="inlineStr">
        <is>
          <t>VÄSTERBOTTENS LÄN</t>
        </is>
      </c>
      <c r="E999" t="inlineStr">
        <is>
          <t>LYCKSELE</t>
        </is>
      </c>
      <c r="F999" t="inlineStr">
        <is>
          <t>Sveaskog</t>
        </is>
      </c>
      <c r="G999" t="n">
        <v>6.7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35192-2025</t>
        </is>
      </c>
      <c r="B1000" s="1" t="n">
        <v>45853.35604166667</v>
      </c>
      <c r="C1000" s="1" t="n">
        <v>45952</v>
      </c>
      <c r="D1000" t="inlineStr">
        <is>
          <t>VÄSTERBOTTENS LÄN</t>
        </is>
      </c>
      <c r="E1000" t="inlineStr">
        <is>
          <t>LYCKSELE</t>
        </is>
      </c>
      <c r="F1000" t="inlineStr">
        <is>
          <t>Sveaskog</t>
        </is>
      </c>
      <c r="G1000" t="n">
        <v>3.4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35237-2025</t>
        </is>
      </c>
      <c r="B1001" s="1" t="n">
        <v>45853.61248842593</v>
      </c>
      <c r="C1001" s="1" t="n">
        <v>45952</v>
      </c>
      <c r="D1001" t="inlineStr">
        <is>
          <t>VÄSTERBOTTENS LÄN</t>
        </is>
      </c>
      <c r="E1001" t="inlineStr">
        <is>
          <t>LYCKSELE</t>
        </is>
      </c>
      <c r="F1001" t="inlineStr">
        <is>
          <t>Sveaskog</t>
        </is>
      </c>
      <c r="G1001" t="n">
        <v>5.9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35130-2025</t>
        </is>
      </c>
      <c r="B1002" s="1" t="n">
        <v>45852.63579861111</v>
      </c>
      <c r="C1002" s="1" t="n">
        <v>45952</v>
      </c>
      <c r="D1002" t="inlineStr">
        <is>
          <t>VÄSTERBOTTENS LÄN</t>
        </is>
      </c>
      <c r="E1002" t="inlineStr">
        <is>
          <t>LYCKSELE</t>
        </is>
      </c>
      <c r="F1002" t="inlineStr">
        <is>
          <t>SCA</t>
        </is>
      </c>
      <c r="G1002" t="n">
        <v>6.2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35225-2025</t>
        </is>
      </c>
      <c r="B1003" s="1" t="n">
        <v>45853.57862268519</v>
      </c>
      <c r="C1003" s="1" t="n">
        <v>45952</v>
      </c>
      <c r="D1003" t="inlineStr">
        <is>
          <t>VÄSTERBOTTENS LÄN</t>
        </is>
      </c>
      <c r="E1003" t="inlineStr">
        <is>
          <t>LYCKSELE</t>
        </is>
      </c>
      <c r="F1003" t="inlineStr">
        <is>
          <t>Sveaskog</t>
        </is>
      </c>
      <c r="G1003" t="n">
        <v>4.1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35227-2025</t>
        </is>
      </c>
      <c r="B1004" s="1" t="n">
        <v>45853.58521990741</v>
      </c>
      <c r="C1004" s="1" t="n">
        <v>45952</v>
      </c>
      <c r="D1004" t="inlineStr">
        <is>
          <t>VÄSTERBOTTENS LÄN</t>
        </is>
      </c>
      <c r="E1004" t="inlineStr">
        <is>
          <t>LYCKSELE</t>
        </is>
      </c>
      <c r="F1004" t="inlineStr">
        <is>
          <t>Sveaskog</t>
        </is>
      </c>
      <c r="G1004" t="n">
        <v>5.5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35234-2025</t>
        </is>
      </c>
      <c r="B1005" s="1" t="n">
        <v>45853.6025</v>
      </c>
      <c r="C1005" s="1" t="n">
        <v>45952</v>
      </c>
      <c r="D1005" t="inlineStr">
        <is>
          <t>VÄSTERBOTTENS LÄN</t>
        </is>
      </c>
      <c r="E1005" t="inlineStr">
        <is>
          <t>LYCKSELE</t>
        </is>
      </c>
      <c r="F1005" t="inlineStr">
        <is>
          <t>Sveaskog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35232-2025</t>
        </is>
      </c>
      <c r="B1006" s="1" t="n">
        <v>45853.59733796296</v>
      </c>
      <c r="C1006" s="1" t="n">
        <v>45952</v>
      </c>
      <c r="D1006" t="inlineStr">
        <is>
          <t>VÄSTERBOTTENS LÄN</t>
        </is>
      </c>
      <c r="E1006" t="inlineStr">
        <is>
          <t>LYCKSELE</t>
        </is>
      </c>
      <c r="F1006" t="inlineStr">
        <is>
          <t>Sveaskog</t>
        </is>
      </c>
      <c r="G1006" t="n">
        <v>4.1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35236-2025</t>
        </is>
      </c>
      <c r="B1007" s="1" t="n">
        <v>45853.60569444444</v>
      </c>
      <c r="C1007" s="1" t="n">
        <v>45952</v>
      </c>
      <c r="D1007" t="inlineStr">
        <is>
          <t>VÄSTERBOTTENS LÄN</t>
        </is>
      </c>
      <c r="E1007" t="inlineStr">
        <is>
          <t>LYCKSELE</t>
        </is>
      </c>
      <c r="F1007" t="inlineStr">
        <is>
          <t>Sveaskog</t>
        </is>
      </c>
      <c r="G1007" t="n">
        <v>3.2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26105-2021</t>
        </is>
      </c>
      <c r="B1008" s="1" t="n">
        <v>44344.93608796296</v>
      </c>
      <c r="C1008" s="1" t="n">
        <v>45952</v>
      </c>
      <c r="D1008" t="inlineStr">
        <is>
          <t>VÄSTERBOTTENS LÄN</t>
        </is>
      </c>
      <c r="E1008" t="inlineStr">
        <is>
          <t>LYCKSELE</t>
        </is>
      </c>
      <c r="F1008" t="inlineStr">
        <is>
          <t>SCA</t>
        </is>
      </c>
      <c r="G1008" t="n">
        <v>4.3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48377-2024</t>
        </is>
      </c>
      <c r="B1009" s="1" t="n">
        <v>45590.58260416667</v>
      </c>
      <c r="C1009" s="1" t="n">
        <v>45952</v>
      </c>
      <c r="D1009" t="inlineStr">
        <is>
          <t>VÄSTERBOTTENS LÄN</t>
        </is>
      </c>
      <c r="E1009" t="inlineStr">
        <is>
          <t>LYCKSELE</t>
        </is>
      </c>
      <c r="F1009" t="inlineStr">
        <is>
          <t>Holmen skog AB</t>
        </is>
      </c>
      <c r="G1009" t="n">
        <v>16.6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35332-2025</t>
        </is>
      </c>
      <c r="B1010" s="1" t="n">
        <v>45854.57362268519</v>
      </c>
      <c r="C1010" s="1" t="n">
        <v>45952</v>
      </c>
      <c r="D1010" t="inlineStr">
        <is>
          <t>VÄSTERBOTTENS LÄN</t>
        </is>
      </c>
      <c r="E1010" t="inlineStr">
        <is>
          <t>LYCKSELE</t>
        </is>
      </c>
      <c r="F1010" t="inlineStr">
        <is>
          <t>SCA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12760-2022</t>
        </is>
      </c>
      <c r="B1011" s="1" t="n">
        <v>44641</v>
      </c>
      <c r="C1011" s="1" t="n">
        <v>45952</v>
      </c>
      <c r="D1011" t="inlineStr">
        <is>
          <t>VÄSTERBOTTENS LÄN</t>
        </is>
      </c>
      <c r="E1011" t="inlineStr">
        <is>
          <t>LYCKSELE</t>
        </is>
      </c>
      <c r="G1011" t="n">
        <v>11.6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35333-2025</t>
        </is>
      </c>
      <c r="B1012" s="1" t="n">
        <v>45854.57376157407</v>
      </c>
      <c r="C1012" s="1" t="n">
        <v>45952</v>
      </c>
      <c r="D1012" t="inlineStr">
        <is>
          <t>VÄSTERBOTTENS LÄN</t>
        </is>
      </c>
      <c r="E1012" t="inlineStr">
        <is>
          <t>LYCKSELE</t>
        </is>
      </c>
      <c r="F1012" t="inlineStr">
        <is>
          <t>SCA</t>
        </is>
      </c>
      <c r="G1012" t="n">
        <v>1.5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29675-2023</t>
        </is>
      </c>
      <c r="B1013" s="1" t="n">
        <v>45107</v>
      </c>
      <c r="C1013" s="1" t="n">
        <v>45952</v>
      </c>
      <c r="D1013" t="inlineStr">
        <is>
          <t>VÄSTERBOTTENS LÄN</t>
        </is>
      </c>
      <c r="E1013" t="inlineStr">
        <is>
          <t>LYCKSELE</t>
        </is>
      </c>
      <c r="F1013" t="inlineStr">
        <is>
          <t>Holmen skog AB</t>
        </is>
      </c>
      <c r="G1013" t="n">
        <v>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27688-2025</t>
        </is>
      </c>
      <c r="B1014" s="1" t="n">
        <v>45813</v>
      </c>
      <c r="C1014" s="1" t="n">
        <v>45952</v>
      </c>
      <c r="D1014" t="inlineStr">
        <is>
          <t>VÄSTERBOTTENS LÄN</t>
        </is>
      </c>
      <c r="E1014" t="inlineStr">
        <is>
          <t>LYCKSELE</t>
        </is>
      </c>
      <c r="G1014" t="n">
        <v>6.8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35303-2025</t>
        </is>
      </c>
      <c r="B1015" s="1" t="n">
        <v>45854.42938657408</v>
      </c>
      <c r="C1015" s="1" t="n">
        <v>45952</v>
      </c>
      <c r="D1015" t="inlineStr">
        <is>
          <t>VÄSTERBOTTENS LÄN</t>
        </is>
      </c>
      <c r="E1015" t="inlineStr">
        <is>
          <t>LYCKSELE</t>
        </is>
      </c>
      <c r="F1015" t="inlineStr">
        <is>
          <t>Sveaskog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7398-2025</t>
        </is>
      </c>
      <c r="B1016" s="1" t="n">
        <v>45705</v>
      </c>
      <c r="C1016" s="1" t="n">
        <v>45952</v>
      </c>
      <c r="D1016" t="inlineStr">
        <is>
          <t>VÄSTERBOTTENS LÄN</t>
        </is>
      </c>
      <c r="E1016" t="inlineStr">
        <is>
          <t>LYCKSELE</t>
        </is>
      </c>
      <c r="G1016" t="n">
        <v>2.4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35604-2025</t>
        </is>
      </c>
      <c r="B1017" s="1" t="n">
        <v>45859.32412037037</v>
      </c>
      <c r="C1017" s="1" t="n">
        <v>45952</v>
      </c>
      <c r="D1017" t="inlineStr">
        <is>
          <t>VÄSTERBOTTENS LÄN</t>
        </is>
      </c>
      <c r="E1017" t="inlineStr">
        <is>
          <t>LYCKSELE</t>
        </is>
      </c>
      <c r="G1017" t="n">
        <v>5.2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41358-2022</t>
        </is>
      </c>
      <c r="B1018" s="1" t="n">
        <v>44826</v>
      </c>
      <c r="C1018" s="1" t="n">
        <v>45952</v>
      </c>
      <c r="D1018" t="inlineStr">
        <is>
          <t>VÄSTERBOTTENS LÄN</t>
        </is>
      </c>
      <c r="E1018" t="inlineStr">
        <is>
          <t>LYCKSELE</t>
        </is>
      </c>
      <c r="G1018" t="n">
        <v>6.2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58594-2022</t>
        </is>
      </c>
      <c r="B1019" s="1" t="n">
        <v>44902.54416666667</v>
      </c>
      <c r="C1019" s="1" t="n">
        <v>45952</v>
      </c>
      <c r="D1019" t="inlineStr">
        <is>
          <t>VÄSTERBOTTENS LÄN</t>
        </is>
      </c>
      <c r="E1019" t="inlineStr">
        <is>
          <t>LYCKSELE</t>
        </is>
      </c>
      <c r="F1019" t="inlineStr">
        <is>
          <t>Sveaskog</t>
        </is>
      </c>
      <c r="G1019" t="n">
        <v>1.2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34849-2023</t>
        </is>
      </c>
      <c r="B1020" s="1" t="n">
        <v>45141.96019675926</v>
      </c>
      <c r="C1020" s="1" t="n">
        <v>45952</v>
      </c>
      <c r="D1020" t="inlineStr">
        <is>
          <t>VÄSTERBOTTENS LÄN</t>
        </is>
      </c>
      <c r="E1020" t="inlineStr">
        <is>
          <t>LYCKSELE</t>
        </is>
      </c>
      <c r="F1020" t="inlineStr">
        <is>
          <t>SCA</t>
        </is>
      </c>
      <c r="G1020" t="n">
        <v>2.7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35566-2025</t>
        </is>
      </c>
      <c r="B1021" s="1" t="n">
        <v>45856.55252314815</v>
      </c>
      <c r="C1021" s="1" t="n">
        <v>45952</v>
      </c>
      <c r="D1021" t="inlineStr">
        <is>
          <t>VÄSTERBOTTENS LÄN</t>
        </is>
      </c>
      <c r="E1021" t="inlineStr">
        <is>
          <t>LYCKSELE</t>
        </is>
      </c>
      <c r="F1021" t="inlineStr">
        <is>
          <t>SCA</t>
        </is>
      </c>
      <c r="G1021" t="n">
        <v>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35662-2025</t>
        </is>
      </c>
      <c r="B1022" s="1" t="n">
        <v>45859.61498842593</v>
      </c>
      <c r="C1022" s="1" t="n">
        <v>45952</v>
      </c>
      <c r="D1022" t="inlineStr">
        <is>
          <t>VÄSTERBOTTENS LÄN</t>
        </is>
      </c>
      <c r="E1022" t="inlineStr">
        <is>
          <t>LYCKSELE</t>
        </is>
      </c>
      <c r="F1022" t="inlineStr">
        <is>
          <t>Sveaskog</t>
        </is>
      </c>
      <c r="G1022" t="n">
        <v>20.8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44375-2023</t>
        </is>
      </c>
      <c r="B1023" s="1" t="n">
        <v>45188.9247800926</v>
      </c>
      <c r="C1023" s="1" t="n">
        <v>45952</v>
      </c>
      <c r="D1023" t="inlineStr">
        <is>
          <t>VÄSTERBOTTENS LÄN</t>
        </is>
      </c>
      <c r="E1023" t="inlineStr">
        <is>
          <t>LYCKSELE</t>
        </is>
      </c>
      <c r="G1023" t="n">
        <v>4.2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35671-2025</t>
        </is>
      </c>
      <c r="B1024" s="1" t="n">
        <v>45859.62431712963</v>
      </c>
      <c r="C1024" s="1" t="n">
        <v>45952</v>
      </c>
      <c r="D1024" t="inlineStr">
        <is>
          <t>VÄSTERBOTTENS LÄN</t>
        </is>
      </c>
      <c r="E1024" t="inlineStr">
        <is>
          <t>LYCKSELE</t>
        </is>
      </c>
      <c r="F1024" t="inlineStr">
        <is>
          <t>Sveaskog</t>
        </is>
      </c>
      <c r="G1024" t="n">
        <v>1.7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35833-2025</t>
        </is>
      </c>
      <c r="B1025" s="1" t="n">
        <v>45861.51261574074</v>
      </c>
      <c r="C1025" s="1" t="n">
        <v>45952</v>
      </c>
      <c r="D1025" t="inlineStr">
        <is>
          <t>VÄSTERBOTTENS LÄN</t>
        </is>
      </c>
      <c r="E1025" t="inlineStr">
        <is>
          <t>LYCKSELE</t>
        </is>
      </c>
      <c r="F1025" t="inlineStr">
        <is>
          <t>Sveaskog</t>
        </is>
      </c>
      <c r="G1025" t="n">
        <v>7.9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38212-2024</t>
        </is>
      </c>
      <c r="B1026" s="1" t="n">
        <v>45545.52331018518</v>
      </c>
      <c r="C1026" s="1" t="n">
        <v>45952</v>
      </c>
      <c r="D1026" t="inlineStr">
        <is>
          <t>VÄSTERBOTTENS LÄN</t>
        </is>
      </c>
      <c r="E1026" t="inlineStr">
        <is>
          <t>LYCKSELE</t>
        </is>
      </c>
      <c r="F1026" t="inlineStr">
        <is>
          <t>Holmen skog AB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53839-2023</t>
        </is>
      </c>
      <c r="B1027" s="1" t="n">
        <v>45231.43283564815</v>
      </c>
      <c r="C1027" s="1" t="n">
        <v>45952</v>
      </c>
      <c r="D1027" t="inlineStr">
        <is>
          <t>VÄSTERBOTTENS LÄN</t>
        </is>
      </c>
      <c r="E1027" t="inlineStr">
        <is>
          <t>LYCKSELE</t>
        </is>
      </c>
      <c r="F1027" t="inlineStr">
        <is>
          <t>Sveaskog</t>
        </is>
      </c>
      <c r="G1027" t="n">
        <v>2.7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35841-2025</t>
        </is>
      </c>
      <c r="B1028" s="1" t="n">
        <v>45861.55245370371</v>
      </c>
      <c r="C1028" s="1" t="n">
        <v>45952</v>
      </c>
      <c r="D1028" t="inlineStr">
        <is>
          <t>VÄSTERBOTTENS LÄN</t>
        </is>
      </c>
      <c r="E1028" t="inlineStr">
        <is>
          <t>LYCKSELE</t>
        </is>
      </c>
      <c r="F1028" t="inlineStr">
        <is>
          <t>SCA</t>
        </is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35860-2025</t>
        </is>
      </c>
      <c r="B1029" s="1" t="n">
        <v>45861.63883101852</v>
      </c>
      <c r="C1029" s="1" t="n">
        <v>45952</v>
      </c>
      <c r="D1029" t="inlineStr">
        <is>
          <t>VÄSTERBOTTENS LÄN</t>
        </is>
      </c>
      <c r="E1029" t="inlineStr">
        <is>
          <t>LYCKSELE</t>
        </is>
      </c>
      <c r="F1029" t="inlineStr">
        <is>
          <t>Holmen skog AB</t>
        </is>
      </c>
      <c r="G1029" t="n">
        <v>5.1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35606-2025</t>
        </is>
      </c>
      <c r="B1030" s="1" t="n">
        <v>45859.32984953704</v>
      </c>
      <c r="C1030" s="1" t="n">
        <v>45952</v>
      </c>
      <c r="D1030" t="inlineStr">
        <is>
          <t>VÄSTERBOTTENS LÄN</t>
        </is>
      </c>
      <c r="E1030" t="inlineStr">
        <is>
          <t>LYCKSELE</t>
        </is>
      </c>
      <c r="G1030" t="n">
        <v>0.4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6943-2025</t>
        </is>
      </c>
      <c r="B1031" s="1" t="n">
        <v>45701</v>
      </c>
      <c r="C1031" s="1" t="n">
        <v>45952</v>
      </c>
      <c r="D1031" t="inlineStr">
        <is>
          <t>VÄSTERBOTTENS LÄN</t>
        </is>
      </c>
      <c r="E1031" t="inlineStr">
        <is>
          <t>LYCKSELE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35990-2025</t>
        </is>
      </c>
      <c r="B1032" s="1" t="n">
        <v>45863.47090277778</v>
      </c>
      <c r="C1032" s="1" t="n">
        <v>45952</v>
      </c>
      <c r="D1032" t="inlineStr">
        <is>
          <t>VÄSTERBOTTENS LÄN</t>
        </is>
      </c>
      <c r="E1032" t="inlineStr">
        <is>
          <t>LYCKSELE</t>
        </is>
      </c>
      <c r="F1032" t="inlineStr">
        <is>
          <t>Sveaskog</t>
        </is>
      </c>
      <c r="G1032" t="n">
        <v>2.3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59559-2022</t>
        </is>
      </c>
      <c r="B1033" s="1" t="n">
        <v>44900</v>
      </c>
      <c r="C1033" s="1" t="n">
        <v>45952</v>
      </c>
      <c r="D1033" t="inlineStr">
        <is>
          <t>VÄSTERBOTTENS LÄN</t>
        </is>
      </c>
      <c r="E1033" t="inlineStr">
        <is>
          <t>LYCKSELE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35920-2025</t>
        </is>
      </c>
      <c r="B1034" s="1" t="n">
        <v>45862.56438657407</v>
      </c>
      <c r="C1034" s="1" t="n">
        <v>45952</v>
      </c>
      <c r="D1034" t="inlineStr">
        <is>
          <t>VÄSTERBOTTENS LÄN</t>
        </is>
      </c>
      <c r="E1034" t="inlineStr">
        <is>
          <t>LYCKSELE</t>
        </is>
      </c>
      <c r="F1034" t="inlineStr">
        <is>
          <t>Holmen skog AB</t>
        </is>
      </c>
      <c r="G1034" t="n">
        <v>4.2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59287-2022</t>
        </is>
      </c>
      <c r="B1035" s="1" t="n">
        <v>44904.60694444444</v>
      </c>
      <c r="C1035" s="1" t="n">
        <v>45952</v>
      </c>
      <c r="D1035" t="inlineStr">
        <is>
          <t>VÄSTERBOTTENS LÄN</t>
        </is>
      </c>
      <c r="E1035" t="inlineStr">
        <is>
          <t>LYCKSELE</t>
        </is>
      </c>
      <c r="F1035" t="inlineStr">
        <is>
          <t>Sveaskog</t>
        </is>
      </c>
      <c r="G1035" t="n">
        <v>5.7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36124-2025</t>
        </is>
      </c>
      <c r="B1036" s="1" t="n">
        <v>45866.61493055556</v>
      </c>
      <c r="C1036" s="1" t="n">
        <v>45952</v>
      </c>
      <c r="D1036" t="inlineStr">
        <is>
          <t>VÄSTERBOTTENS LÄN</t>
        </is>
      </c>
      <c r="E1036" t="inlineStr">
        <is>
          <t>LYCKSELE</t>
        </is>
      </c>
      <c r="F1036" t="inlineStr">
        <is>
          <t>SCA</t>
        </is>
      </c>
      <c r="G1036" t="n">
        <v>1.5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6769-2025</t>
        </is>
      </c>
      <c r="B1037" s="1" t="n">
        <v>45700.63939814815</v>
      </c>
      <c r="C1037" s="1" t="n">
        <v>45952</v>
      </c>
      <c r="D1037" t="inlineStr">
        <is>
          <t>VÄSTERBOTTENS LÄN</t>
        </is>
      </c>
      <c r="E1037" t="inlineStr">
        <is>
          <t>LYCKSELE</t>
        </is>
      </c>
      <c r="F1037" t="inlineStr">
        <is>
          <t>Sveaskog</t>
        </is>
      </c>
      <c r="G1037" t="n">
        <v>1.8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36542-2025</t>
        </is>
      </c>
      <c r="B1038" s="1" t="n">
        <v>45869.6568287037</v>
      </c>
      <c r="C1038" s="1" t="n">
        <v>45952</v>
      </c>
      <c r="D1038" t="inlineStr">
        <is>
          <t>VÄSTERBOTTENS LÄN</t>
        </is>
      </c>
      <c r="E1038" t="inlineStr">
        <is>
          <t>LYCKSELE</t>
        </is>
      </c>
      <c r="F1038" t="inlineStr">
        <is>
          <t>SCA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30581-2024</t>
        </is>
      </c>
      <c r="B1039" s="1" t="n">
        <v>45492.96038194445</v>
      </c>
      <c r="C1039" s="1" t="n">
        <v>45952</v>
      </c>
      <c r="D1039" t="inlineStr">
        <is>
          <t>VÄSTERBOTTENS LÄN</t>
        </is>
      </c>
      <c r="E1039" t="inlineStr">
        <is>
          <t>LYCKSELE</t>
        </is>
      </c>
      <c r="F1039" t="inlineStr">
        <is>
          <t>SCA</t>
        </is>
      </c>
      <c r="G1039" t="n">
        <v>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43409-2025</t>
        </is>
      </c>
      <c r="B1040" s="1" t="n">
        <v>45911.39513888889</v>
      </c>
      <c r="C1040" s="1" t="n">
        <v>45952</v>
      </c>
      <c r="D1040" t="inlineStr">
        <is>
          <t>VÄSTERBOTTENS LÄN</t>
        </is>
      </c>
      <c r="E1040" t="inlineStr">
        <is>
          <t>LYCKSELE</t>
        </is>
      </c>
      <c r="F1040" t="inlineStr">
        <is>
          <t>Holmen skog AB</t>
        </is>
      </c>
      <c r="G1040" t="n">
        <v>2.4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58192-2023</t>
        </is>
      </c>
      <c r="B1041" s="1" t="n">
        <v>45245</v>
      </c>
      <c r="C1041" s="1" t="n">
        <v>45952</v>
      </c>
      <c r="D1041" t="inlineStr">
        <is>
          <t>VÄSTERBOTTENS LÄN</t>
        </is>
      </c>
      <c r="E1041" t="inlineStr">
        <is>
          <t>LYCKSELE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43583-2025</t>
        </is>
      </c>
      <c r="B1042" s="1" t="n">
        <v>45911.6499537037</v>
      </c>
      <c r="C1042" s="1" t="n">
        <v>45952</v>
      </c>
      <c r="D1042" t="inlineStr">
        <is>
          <t>VÄSTERBOTTENS LÄN</t>
        </is>
      </c>
      <c r="E1042" t="inlineStr">
        <is>
          <t>LYCKSELE</t>
        </is>
      </c>
      <c r="F1042" t="inlineStr">
        <is>
          <t>Holmen skog AB</t>
        </is>
      </c>
      <c r="G1042" t="n">
        <v>2.4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36398-2025</t>
        </is>
      </c>
      <c r="B1043" s="1" t="n">
        <v>45868.63600694444</v>
      </c>
      <c r="C1043" s="1" t="n">
        <v>45952</v>
      </c>
      <c r="D1043" t="inlineStr">
        <is>
          <t>VÄSTERBOTTENS LÄN</t>
        </is>
      </c>
      <c r="E1043" t="inlineStr">
        <is>
          <t>LYCKSELE</t>
        </is>
      </c>
      <c r="F1043" t="inlineStr">
        <is>
          <t>SCA</t>
        </is>
      </c>
      <c r="G1043" t="n">
        <v>4.2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53037-2023</t>
        </is>
      </c>
      <c r="B1044" s="1" t="n">
        <v>45226</v>
      </c>
      <c r="C1044" s="1" t="n">
        <v>45952</v>
      </c>
      <c r="D1044" t="inlineStr">
        <is>
          <t>VÄSTERBOTTENS LÄN</t>
        </is>
      </c>
      <c r="E1044" t="inlineStr">
        <is>
          <t>LYCKSELE</t>
        </is>
      </c>
      <c r="F1044" t="inlineStr">
        <is>
          <t>SCA</t>
        </is>
      </c>
      <c r="G1044" t="n">
        <v>7.4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36439-2025</t>
        </is>
      </c>
      <c r="B1045" s="1" t="n">
        <v>45869.38572916666</v>
      </c>
      <c r="C1045" s="1" t="n">
        <v>45952</v>
      </c>
      <c r="D1045" t="inlineStr">
        <is>
          <t>VÄSTERBOTTENS LÄN</t>
        </is>
      </c>
      <c r="E1045" t="inlineStr">
        <is>
          <t>LYCKSELE</t>
        </is>
      </c>
      <c r="F1045" t="inlineStr">
        <is>
          <t>Holmen skog AB</t>
        </is>
      </c>
      <c r="G1045" t="n">
        <v>14.3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53335-2024</t>
        </is>
      </c>
      <c r="B1046" s="1" t="n">
        <v>45614.42590277778</v>
      </c>
      <c r="C1046" s="1" t="n">
        <v>45952</v>
      </c>
      <c r="D1046" t="inlineStr">
        <is>
          <t>VÄSTERBOTTENS LÄN</t>
        </is>
      </c>
      <c r="E1046" t="inlineStr">
        <is>
          <t>LYCKSELE</t>
        </is>
      </c>
      <c r="F1046" t="inlineStr">
        <is>
          <t>Sveaskog</t>
        </is>
      </c>
      <c r="G1046" t="n">
        <v>5.5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35832-2025</t>
        </is>
      </c>
      <c r="B1047" s="1" t="n">
        <v>45861.50935185186</v>
      </c>
      <c r="C1047" s="1" t="n">
        <v>45952</v>
      </c>
      <c r="D1047" t="inlineStr">
        <is>
          <t>VÄSTERBOTTENS LÄN</t>
        </is>
      </c>
      <c r="E1047" t="inlineStr">
        <is>
          <t>LYCKSELE</t>
        </is>
      </c>
      <c r="F1047" t="inlineStr">
        <is>
          <t>Sveaskog</t>
        </is>
      </c>
      <c r="G1047" t="n">
        <v>6.5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44098-2025</t>
        </is>
      </c>
      <c r="B1048" s="1" t="n">
        <v>45915</v>
      </c>
      <c r="C1048" s="1" t="n">
        <v>45952</v>
      </c>
      <c r="D1048" t="inlineStr">
        <is>
          <t>VÄSTERBOTTENS LÄN</t>
        </is>
      </c>
      <c r="E1048" t="inlineStr">
        <is>
          <t>LYCKSELE</t>
        </is>
      </c>
      <c r="G1048" t="n">
        <v>8.4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43928-2025</t>
        </is>
      </c>
      <c r="B1049" s="1" t="n">
        <v>45915.32159722222</v>
      </c>
      <c r="C1049" s="1" t="n">
        <v>45952</v>
      </c>
      <c r="D1049" t="inlineStr">
        <is>
          <t>VÄSTERBOTTENS LÄN</t>
        </is>
      </c>
      <c r="E1049" t="inlineStr">
        <is>
          <t>LYCKSELE</t>
        </is>
      </c>
      <c r="F1049" t="inlineStr">
        <is>
          <t>Sveaskog</t>
        </is>
      </c>
      <c r="G1049" t="n">
        <v>9.9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43929-2025</t>
        </is>
      </c>
      <c r="B1050" s="1" t="n">
        <v>45915.32696759259</v>
      </c>
      <c r="C1050" s="1" t="n">
        <v>45952</v>
      </c>
      <c r="D1050" t="inlineStr">
        <is>
          <t>VÄSTERBOTTENS LÄN</t>
        </is>
      </c>
      <c r="E1050" t="inlineStr">
        <is>
          <t>LYCKSELE</t>
        </is>
      </c>
      <c r="F1050" t="inlineStr">
        <is>
          <t>Sveaskog</t>
        </is>
      </c>
      <c r="G1050" t="n">
        <v>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36689-2025</t>
        </is>
      </c>
      <c r="B1051" s="1" t="n">
        <v>45873.42712962963</v>
      </c>
      <c r="C1051" s="1" t="n">
        <v>45952</v>
      </c>
      <c r="D1051" t="inlineStr">
        <is>
          <t>VÄSTERBOTTENS LÄN</t>
        </is>
      </c>
      <c r="E1051" t="inlineStr">
        <is>
          <t>LYCKSELE</t>
        </is>
      </c>
      <c r="F1051" t="inlineStr">
        <is>
          <t>Sveaskog</t>
        </is>
      </c>
      <c r="G1051" t="n">
        <v>2.4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24810-2024</t>
        </is>
      </c>
      <c r="B1052" s="1" t="n">
        <v>45460.95396990741</v>
      </c>
      <c r="C1052" s="1" t="n">
        <v>45952</v>
      </c>
      <c r="D1052" t="inlineStr">
        <is>
          <t>VÄSTERBOTTENS LÄN</t>
        </is>
      </c>
      <c r="E1052" t="inlineStr">
        <is>
          <t>LYCKSELE</t>
        </is>
      </c>
      <c r="F1052" t="inlineStr">
        <is>
          <t>SCA</t>
        </is>
      </c>
      <c r="G1052" t="n">
        <v>5.3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36687-2025</t>
        </is>
      </c>
      <c r="B1053" s="1" t="n">
        <v>45873.41922453704</v>
      </c>
      <c r="C1053" s="1" t="n">
        <v>45952</v>
      </c>
      <c r="D1053" t="inlineStr">
        <is>
          <t>VÄSTERBOTTENS LÄN</t>
        </is>
      </c>
      <c r="E1053" t="inlineStr">
        <is>
          <t>LYCKSELE</t>
        </is>
      </c>
      <c r="F1053" t="inlineStr">
        <is>
          <t>Sveaskog</t>
        </is>
      </c>
      <c r="G1053" t="n">
        <v>1.9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44087-2025</t>
        </is>
      </c>
      <c r="B1054" s="1" t="n">
        <v>45915</v>
      </c>
      <c r="C1054" s="1" t="n">
        <v>45952</v>
      </c>
      <c r="D1054" t="inlineStr">
        <is>
          <t>VÄSTERBOTTENS LÄN</t>
        </is>
      </c>
      <c r="E1054" t="inlineStr">
        <is>
          <t>LYCKSELE</t>
        </is>
      </c>
      <c r="G1054" t="n">
        <v>1.4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43924-2025</t>
        </is>
      </c>
      <c r="B1055" s="1" t="n">
        <v>45915.30688657407</v>
      </c>
      <c r="C1055" s="1" t="n">
        <v>45952</v>
      </c>
      <c r="D1055" t="inlineStr">
        <is>
          <t>VÄSTERBOTTENS LÄN</t>
        </is>
      </c>
      <c r="E1055" t="inlineStr">
        <is>
          <t>LYCKSELE</t>
        </is>
      </c>
      <c r="F1055" t="inlineStr">
        <is>
          <t>Sveaskog</t>
        </is>
      </c>
      <c r="G1055" t="n">
        <v>6.9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36736-2025</t>
        </is>
      </c>
      <c r="B1056" s="1" t="n">
        <v>45873.52534722222</v>
      </c>
      <c r="C1056" s="1" t="n">
        <v>45952</v>
      </c>
      <c r="D1056" t="inlineStr">
        <is>
          <t>VÄSTERBOTTENS LÄN</t>
        </is>
      </c>
      <c r="E1056" t="inlineStr">
        <is>
          <t>LYCKSELE</t>
        </is>
      </c>
      <c r="F1056" t="inlineStr">
        <is>
          <t>Sveaskog</t>
        </is>
      </c>
      <c r="G1056" t="n">
        <v>4.7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36702-2025</t>
        </is>
      </c>
      <c r="B1057" s="1" t="n">
        <v>45873.44997685185</v>
      </c>
      <c r="C1057" s="1" t="n">
        <v>45952</v>
      </c>
      <c r="D1057" t="inlineStr">
        <is>
          <t>VÄSTERBOTTENS LÄN</t>
        </is>
      </c>
      <c r="E1057" t="inlineStr">
        <is>
          <t>LYCKSELE</t>
        </is>
      </c>
      <c r="F1057" t="inlineStr">
        <is>
          <t>Sveaskog</t>
        </is>
      </c>
      <c r="G1057" t="n">
        <v>4.4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60859-2022</t>
        </is>
      </c>
      <c r="B1058" s="1" t="n">
        <v>44908</v>
      </c>
      <c r="C1058" s="1" t="n">
        <v>45952</v>
      </c>
      <c r="D1058" t="inlineStr">
        <is>
          <t>VÄSTERBOTTENS LÄN</t>
        </is>
      </c>
      <c r="E1058" t="inlineStr">
        <is>
          <t>LYCKSELE</t>
        </is>
      </c>
      <c r="G1058" t="n">
        <v>3.4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43680-2025</t>
        </is>
      </c>
      <c r="B1059" s="1" t="n">
        <v>45912.36884259259</v>
      </c>
      <c r="C1059" s="1" t="n">
        <v>45952</v>
      </c>
      <c r="D1059" t="inlineStr">
        <is>
          <t>VÄSTERBOTTENS LÄN</t>
        </is>
      </c>
      <c r="E1059" t="inlineStr">
        <is>
          <t>LYCKSELE</t>
        </is>
      </c>
      <c r="F1059" t="inlineStr">
        <is>
          <t>Sveaskog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36787-2025</t>
        </is>
      </c>
      <c r="B1060" s="1" t="n">
        <v>45873.6340162037</v>
      </c>
      <c r="C1060" s="1" t="n">
        <v>45952</v>
      </c>
      <c r="D1060" t="inlineStr">
        <is>
          <t>VÄSTERBOTTENS LÄN</t>
        </is>
      </c>
      <c r="E1060" t="inlineStr">
        <is>
          <t>LYCKSELE</t>
        </is>
      </c>
      <c r="F1060" t="inlineStr">
        <is>
          <t>Sveaskog</t>
        </is>
      </c>
      <c r="G1060" t="n">
        <v>20.1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44092-2025</t>
        </is>
      </c>
      <c r="B1061" s="1" t="n">
        <v>45915</v>
      </c>
      <c r="C1061" s="1" t="n">
        <v>45952</v>
      </c>
      <c r="D1061" t="inlineStr">
        <is>
          <t>VÄSTERBOTTENS LÄN</t>
        </is>
      </c>
      <c r="E1061" t="inlineStr">
        <is>
          <t>LYCKSELE</t>
        </is>
      </c>
      <c r="G1061" t="n">
        <v>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43931-2025</t>
        </is>
      </c>
      <c r="B1062" s="1" t="n">
        <v>45915.33216435185</v>
      </c>
      <c r="C1062" s="1" t="n">
        <v>45952</v>
      </c>
      <c r="D1062" t="inlineStr">
        <is>
          <t>VÄSTERBOTTENS LÄN</t>
        </is>
      </c>
      <c r="E1062" t="inlineStr">
        <is>
          <t>LYCKSELE</t>
        </is>
      </c>
      <c r="F1062" t="inlineStr">
        <is>
          <t>Sveaskog</t>
        </is>
      </c>
      <c r="G1062" t="n">
        <v>9.9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26351-2022</t>
        </is>
      </c>
      <c r="B1063" s="1" t="n">
        <v>44735</v>
      </c>
      <c r="C1063" s="1" t="n">
        <v>45952</v>
      </c>
      <c r="D1063" t="inlineStr">
        <is>
          <t>VÄSTERBOTTENS LÄN</t>
        </is>
      </c>
      <c r="E1063" t="inlineStr">
        <is>
          <t>LYCKSELE</t>
        </is>
      </c>
      <c r="G1063" t="n">
        <v>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36709-2025</t>
        </is>
      </c>
      <c r="B1064" s="1" t="n">
        <v>45873.46443287037</v>
      </c>
      <c r="C1064" s="1" t="n">
        <v>45952</v>
      </c>
      <c r="D1064" t="inlineStr">
        <is>
          <t>VÄSTERBOTTENS LÄN</t>
        </is>
      </c>
      <c r="E1064" t="inlineStr">
        <is>
          <t>LYCKSELE</t>
        </is>
      </c>
      <c r="F1064" t="inlineStr">
        <is>
          <t>Holmen skog AB</t>
        </is>
      </c>
      <c r="G1064" t="n">
        <v>3.9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54446-2023</t>
        </is>
      </c>
      <c r="B1065" s="1" t="n">
        <v>45233</v>
      </c>
      <c r="C1065" s="1" t="n">
        <v>45952</v>
      </c>
      <c r="D1065" t="inlineStr">
        <is>
          <t>VÄSTERBOTTENS LÄN</t>
        </is>
      </c>
      <c r="E1065" t="inlineStr">
        <is>
          <t>LYCKSELE</t>
        </is>
      </c>
      <c r="G1065" t="n">
        <v>21.4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44340-2025</t>
        </is>
      </c>
      <c r="B1066" s="1" t="n">
        <v>45916.43275462963</v>
      </c>
      <c r="C1066" s="1" t="n">
        <v>45952</v>
      </c>
      <c r="D1066" t="inlineStr">
        <is>
          <t>VÄSTERBOTTENS LÄN</t>
        </is>
      </c>
      <c r="E1066" t="inlineStr">
        <is>
          <t>LYCKSELE</t>
        </is>
      </c>
      <c r="F1066" t="inlineStr">
        <is>
          <t>Sveaskog</t>
        </is>
      </c>
      <c r="G1066" t="n">
        <v>19.6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44342-2025</t>
        </is>
      </c>
      <c r="B1067" s="1" t="n">
        <v>45916.43309027778</v>
      </c>
      <c r="C1067" s="1" t="n">
        <v>45952</v>
      </c>
      <c r="D1067" t="inlineStr">
        <is>
          <t>VÄSTERBOTTENS LÄN</t>
        </is>
      </c>
      <c r="E1067" t="inlineStr">
        <is>
          <t>LYCKSELE</t>
        </is>
      </c>
      <c r="F1067" t="inlineStr">
        <is>
          <t>Sveaskog</t>
        </is>
      </c>
      <c r="G1067" t="n">
        <v>4.1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44351-2025</t>
        </is>
      </c>
      <c r="B1068" s="1" t="n">
        <v>45916.44199074074</v>
      </c>
      <c r="C1068" s="1" t="n">
        <v>45952</v>
      </c>
      <c r="D1068" t="inlineStr">
        <is>
          <t>VÄSTERBOTTENS LÄN</t>
        </is>
      </c>
      <c r="E1068" t="inlineStr">
        <is>
          <t>LYCKSELE</t>
        </is>
      </c>
      <c r="F1068" t="inlineStr">
        <is>
          <t>Sveaskog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52956-2022</t>
        </is>
      </c>
      <c r="B1069" s="1" t="n">
        <v>44875</v>
      </c>
      <c r="C1069" s="1" t="n">
        <v>45952</v>
      </c>
      <c r="D1069" t="inlineStr">
        <is>
          <t>VÄSTERBOTTENS LÄN</t>
        </is>
      </c>
      <c r="E1069" t="inlineStr">
        <is>
          <t>LYCKSELE</t>
        </is>
      </c>
      <c r="F1069" t="inlineStr">
        <is>
          <t>Holmen skog AB</t>
        </is>
      </c>
      <c r="G1069" t="n">
        <v>6.4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44337-2025</t>
        </is>
      </c>
      <c r="B1070" s="1" t="n">
        <v>45916.42528935185</v>
      </c>
      <c r="C1070" s="1" t="n">
        <v>45952</v>
      </c>
      <c r="D1070" t="inlineStr">
        <is>
          <t>VÄSTERBOTTENS LÄN</t>
        </is>
      </c>
      <c r="E1070" t="inlineStr">
        <is>
          <t>LYCKSELE</t>
        </is>
      </c>
      <c r="F1070" t="inlineStr">
        <is>
          <t>Sveaskog</t>
        </is>
      </c>
      <c r="G1070" t="n">
        <v>1.7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44345-2025</t>
        </is>
      </c>
      <c r="B1071" s="1" t="n">
        <v>45916.43665509259</v>
      </c>
      <c r="C1071" s="1" t="n">
        <v>45952</v>
      </c>
      <c r="D1071" t="inlineStr">
        <is>
          <t>VÄSTERBOTTENS LÄN</t>
        </is>
      </c>
      <c r="E1071" t="inlineStr">
        <is>
          <t>LYCKSELE</t>
        </is>
      </c>
      <c r="F1071" t="inlineStr">
        <is>
          <t>Sveaskog</t>
        </is>
      </c>
      <c r="G1071" t="n">
        <v>5.4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44596-2025</t>
        </is>
      </c>
      <c r="B1072" s="1" t="n">
        <v>45917.42873842592</v>
      </c>
      <c r="C1072" s="1" t="n">
        <v>45952</v>
      </c>
      <c r="D1072" t="inlineStr">
        <is>
          <t>VÄSTERBOTTENS LÄN</t>
        </is>
      </c>
      <c r="E1072" t="inlineStr">
        <is>
          <t>LYCKSELE</t>
        </is>
      </c>
      <c r="G1072" t="n">
        <v>5.8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37078-2025</t>
        </is>
      </c>
      <c r="B1073" s="1" t="n">
        <v>45875.42446759259</v>
      </c>
      <c r="C1073" s="1" t="n">
        <v>45952</v>
      </c>
      <c r="D1073" t="inlineStr">
        <is>
          <t>VÄSTERBOTTENS LÄN</t>
        </is>
      </c>
      <c r="E1073" t="inlineStr">
        <is>
          <t>LYCKSELE</t>
        </is>
      </c>
      <c r="F1073" t="inlineStr">
        <is>
          <t>Sveaskog</t>
        </is>
      </c>
      <c r="G1073" t="n">
        <v>3.2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38112-2024</t>
        </is>
      </c>
      <c r="B1074" s="1" t="n">
        <v>45545.38578703703</v>
      </c>
      <c r="C1074" s="1" t="n">
        <v>45952</v>
      </c>
      <c r="D1074" t="inlineStr">
        <is>
          <t>VÄSTERBOTTENS LÄN</t>
        </is>
      </c>
      <c r="E1074" t="inlineStr">
        <is>
          <t>LYCKSELE</t>
        </is>
      </c>
      <c r="F1074" t="inlineStr">
        <is>
          <t>SCA</t>
        </is>
      </c>
      <c r="G1074" t="n">
        <v>2.5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44299-2025</t>
        </is>
      </c>
      <c r="B1075" s="1" t="n">
        <v>45916.36753472222</v>
      </c>
      <c r="C1075" s="1" t="n">
        <v>45952</v>
      </c>
      <c r="D1075" t="inlineStr">
        <is>
          <t>VÄSTERBOTTENS LÄN</t>
        </is>
      </c>
      <c r="E1075" t="inlineStr">
        <is>
          <t>LYCKSELE</t>
        </is>
      </c>
      <c r="F1075" t="inlineStr">
        <is>
          <t>Sveaskog</t>
        </is>
      </c>
      <c r="G1075" t="n">
        <v>18.1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59516-2021</t>
        </is>
      </c>
      <c r="B1076" s="1" t="n">
        <v>44491</v>
      </c>
      <c r="C1076" s="1" t="n">
        <v>45952</v>
      </c>
      <c r="D1076" t="inlineStr">
        <is>
          <t>VÄSTERBOTTENS LÄN</t>
        </is>
      </c>
      <c r="E1076" t="inlineStr">
        <is>
          <t>LYCKSELE</t>
        </is>
      </c>
      <c r="F1076" t="inlineStr">
        <is>
          <t>Holmen skog AB</t>
        </is>
      </c>
      <c r="G1076" t="n">
        <v>2.7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37105-2025</t>
        </is>
      </c>
      <c r="B1077" s="1" t="n">
        <v>45875.47822916666</v>
      </c>
      <c r="C1077" s="1" t="n">
        <v>45952</v>
      </c>
      <c r="D1077" t="inlineStr">
        <is>
          <t>VÄSTERBOTTENS LÄN</t>
        </is>
      </c>
      <c r="E1077" t="inlineStr">
        <is>
          <t>LYCKSELE</t>
        </is>
      </c>
      <c r="F1077" t="inlineStr">
        <is>
          <t>Holmen skog AB</t>
        </is>
      </c>
      <c r="G1077" t="n">
        <v>16.4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44547-2025</t>
        </is>
      </c>
      <c r="B1078" s="1" t="n">
        <v>45917.3320949074</v>
      </c>
      <c r="C1078" s="1" t="n">
        <v>45952</v>
      </c>
      <c r="D1078" t="inlineStr">
        <is>
          <t>VÄSTERBOTTENS LÄN</t>
        </is>
      </c>
      <c r="E1078" t="inlineStr">
        <is>
          <t>LYCKSELE</t>
        </is>
      </c>
      <c r="F1078" t="inlineStr">
        <is>
          <t>Sveaskog</t>
        </is>
      </c>
      <c r="G1078" t="n">
        <v>0.9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56343-2022</t>
        </is>
      </c>
      <c r="B1079" s="1" t="n">
        <v>44890</v>
      </c>
      <c r="C1079" s="1" t="n">
        <v>45952</v>
      </c>
      <c r="D1079" t="inlineStr">
        <is>
          <t>VÄSTERBOTTENS LÄN</t>
        </is>
      </c>
      <c r="E1079" t="inlineStr">
        <is>
          <t>LYCKSELE</t>
        </is>
      </c>
      <c r="F1079" t="inlineStr">
        <is>
          <t>Sveaskog</t>
        </is>
      </c>
      <c r="G1079" t="n">
        <v>0.5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44346-2025</t>
        </is>
      </c>
      <c r="B1080" s="1" t="n">
        <v>45916.43722222222</v>
      </c>
      <c r="C1080" s="1" t="n">
        <v>45952</v>
      </c>
      <c r="D1080" t="inlineStr">
        <is>
          <t>VÄSTERBOTTENS LÄN</t>
        </is>
      </c>
      <c r="E1080" t="inlineStr">
        <is>
          <t>LYCKSELE</t>
        </is>
      </c>
      <c r="F1080" t="inlineStr">
        <is>
          <t>Sveaskog</t>
        </is>
      </c>
      <c r="G1080" t="n">
        <v>18.4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44360-2025</t>
        </is>
      </c>
      <c r="B1081" s="1" t="n">
        <v>45916.45126157408</v>
      </c>
      <c r="C1081" s="1" t="n">
        <v>45952</v>
      </c>
      <c r="D1081" t="inlineStr">
        <is>
          <t>VÄSTERBOTTENS LÄN</t>
        </is>
      </c>
      <c r="E1081" t="inlineStr">
        <is>
          <t>LYCKSELE</t>
        </is>
      </c>
      <c r="F1081" t="inlineStr">
        <is>
          <t>Sveaskog</t>
        </is>
      </c>
      <c r="G1081" t="n">
        <v>5.3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45092-2025</t>
        </is>
      </c>
      <c r="B1082" s="1" t="n">
        <v>45919.38167824074</v>
      </c>
      <c r="C1082" s="1" t="n">
        <v>45952</v>
      </c>
      <c r="D1082" t="inlineStr">
        <is>
          <t>VÄSTERBOTTENS LÄN</t>
        </is>
      </c>
      <c r="E1082" t="inlineStr">
        <is>
          <t>LYCKSELE</t>
        </is>
      </c>
      <c r="G1082" t="n">
        <v>2.9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44107-2025</t>
        </is>
      </c>
      <c r="B1083" s="1" t="n">
        <v>45915</v>
      </c>
      <c r="C1083" s="1" t="n">
        <v>45952</v>
      </c>
      <c r="D1083" t="inlineStr">
        <is>
          <t>VÄSTERBOTTENS LÄN</t>
        </is>
      </c>
      <c r="E1083" t="inlineStr">
        <is>
          <t>LYCKSELE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45077-2025</t>
        </is>
      </c>
      <c r="B1084" s="1" t="n">
        <v>45919.36490740741</v>
      </c>
      <c r="C1084" s="1" t="n">
        <v>45952</v>
      </c>
      <c r="D1084" t="inlineStr">
        <is>
          <t>VÄSTERBOTTENS LÄN</t>
        </is>
      </c>
      <c r="E1084" t="inlineStr">
        <is>
          <t>LYCKSELE</t>
        </is>
      </c>
      <c r="F1084" t="inlineStr">
        <is>
          <t>SCA</t>
        </is>
      </c>
      <c r="G1084" t="n">
        <v>2.1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45139-2025</t>
        </is>
      </c>
      <c r="B1085" s="1" t="n">
        <v>45919.45460648148</v>
      </c>
      <c r="C1085" s="1" t="n">
        <v>45952</v>
      </c>
      <c r="D1085" t="inlineStr">
        <is>
          <t>VÄSTERBOTTENS LÄN</t>
        </is>
      </c>
      <c r="E1085" t="inlineStr">
        <is>
          <t>LYCKSELE</t>
        </is>
      </c>
      <c r="G1085" t="n">
        <v>5.7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44998-2025</t>
        </is>
      </c>
      <c r="B1086" s="1" t="n">
        <v>45918.65956018519</v>
      </c>
      <c r="C1086" s="1" t="n">
        <v>45952</v>
      </c>
      <c r="D1086" t="inlineStr">
        <is>
          <t>VÄSTERBOTTENS LÄN</t>
        </is>
      </c>
      <c r="E1086" t="inlineStr">
        <is>
          <t>LYCKSELE</t>
        </is>
      </c>
      <c r="F1086" t="inlineStr">
        <is>
          <t>Holmen skog AB</t>
        </is>
      </c>
      <c r="G1086" t="n">
        <v>14.4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44076-2025</t>
        </is>
      </c>
      <c r="B1087" s="1" t="n">
        <v>45915</v>
      </c>
      <c r="C1087" s="1" t="n">
        <v>45952</v>
      </c>
      <c r="D1087" t="inlineStr">
        <is>
          <t>VÄSTERBOTTENS LÄN</t>
        </is>
      </c>
      <c r="E1087" t="inlineStr">
        <is>
          <t>LYCKSELE</t>
        </is>
      </c>
      <c r="G1087" t="n">
        <v>25.1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45174-2025</t>
        </is>
      </c>
      <c r="B1088" s="1" t="n">
        <v>45919.52239583333</v>
      </c>
      <c r="C1088" s="1" t="n">
        <v>45952</v>
      </c>
      <c r="D1088" t="inlineStr">
        <is>
          <t>VÄSTERBOTTENS LÄN</t>
        </is>
      </c>
      <c r="E1088" t="inlineStr">
        <is>
          <t>LYCKSELE</t>
        </is>
      </c>
      <c r="F1088" t="inlineStr">
        <is>
          <t>Holmen skog AB</t>
        </is>
      </c>
      <c r="G1088" t="n">
        <v>0.7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44094-2025</t>
        </is>
      </c>
      <c r="B1089" s="1" t="n">
        <v>45915</v>
      </c>
      <c r="C1089" s="1" t="n">
        <v>45952</v>
      </c>
      <c r="D1089" t="inlineStr">
        <is>
          <t>VÄSTERBOTTENS LÄN</t>
        </is>
      </c>
      <c r="E1089" t="inlineStr">
        <is>
          <t>LYCKSELE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28408-2023</t>
        </is>
      </c>
      <c r="B1090" s="1" t="n">
        <v>45101</v>
      </c>
      <c r="C1090" s="1" t="n">
        <v>45952</v>
      </c>
      <c r="D1090" t="inlineStr">
        <is>
          <t>VÄSTERBOTTENS LÄN</t>
        </is>
      </c>
      <c r="E1090" t="inlineStr">
        <is>
          <t>LYCKSELE</t>
        </is>
      </c>
      <c r="G1090" t="n">
        <v>5.7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4056-2023</t>
        </is>
      </c>
      <c r="B1091" s="1" t="n">
        <v>44952</v>
      </c>
      <c r="C1091" s="1" t="n">
        <v>45952</v>
      </c>
      <c r="D1091" t="inlineStr">
        <is>
          <t>VÄSTERBOTTENS LÄN</t>
        </is>
      </c>
      <c r="E1091" t="inlineStr">
        <is>
          <t>LYCKSELE</t>
        </is>
      </c>
      <c r="F1091" t="inlineStr">
        <is>
          <t>Sveaskog</t>
        </is>
      </c>
      <c r="G1091" t="n">
        <v>2.8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37905-2025</t>
        </is>
      </c>
      <c r="B1092" s="1" t="n">
        <v>45880</v>
      </c>
      <c r="C1092" s="1" t="n">
        <v>45952</v>
      </c>
      <c r="D1092" t="inlineStr">
        <is>
          <t>VÄSTERBOTTENS LÄN</t>
        </is>
      </c>
      <c r="E1092" t="inlineStr">
        <is>
          <t>LYCKSELE</t>
        </is>
      </c>
      <c r="G1092" t="n">
        <v>12.9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7623-2025</t>
        </is>
      </c>
      <c r="B1093" s="1" t="n">
        <v>45705.72366898148</v>
      </c>
      <c r="C1093" s="1" t="n">
        <v>45952</v>
      </c>
      <c r="D1093" t="inlineStr">
        <is>
          <t>VÄSTERBOTTENS LÄN</t>
        </is>
      </c>
      <c r="E1093" t="inlineStr">
        <is>
          <t>LYCKSELE</t>
        </is>
      </c>
      <c r="G1093" t="n">
        <v>6.5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49175-2023</t>
        </is>
      </c>
      <c r="B1094" s="1" t="n">
        <v>45210.55800925926</v>
      </c>
      <c r="C1094" s="1" t="n">
        <v>45952</v>
      </c>
      <c r="D1094" t="inlineStr">
        <is>
          <t>VÄSTERBOTTENS LÄN</t>
        </is>
      </c>
      <c r="E1094" t="inlineStr">
        <is>
          <t>LYCKSELE</t>
        </is>
      </c>
      <c r="G1094" t="n">
        <v>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33689-2024</t>
        </is>
      </c>
      <c r="B1095" s="1" t="n">
        <v>45520.51114583333</v>
      </c>
      <c r="C1095" s="1" t="n">
        <v>45952</v>
      </c>
      <c r="D1095" t="inlineStr">
        <is>
          <t>VÄSTERBOTTENS LÄN</t>
        </is>
      </c>
      <c r="E1095" t="inlineStr">
        <is>
          <t>LYCKSELE</t>
        </is>
      </c>
      <c r="F1095" t="inlineStr">
        <is>
          <t>Sveaskog</t>
        </is>
      </c>
      <c r="G1095" t="n">
        <v>3.2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33701-2024</t>
        </is>
      </c>
      <c r="B1096" s="1" t="n">
        <v>45520.52251157408</v>
      </c>
      <c r="C1096" s="1" t="n">
        <v>45952</v>
      </c>
      <c r="D1096" t="inlineStr">
        <is>
          <t>VÄSTERBOTTENS LÄN</t>
        </is>
      </c>
      <c r="E1096" t="inlineStr">
        <is>
          <t>LYCKSELE</t>
        </is>
      </c>
      <c r="F1096" t="inlineStr">
        <is>
          <t>Sveaskog</t>
        </is>
      </c>
      <c r="G1096" t="n">
        <v>12.1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58356-2024</t>
        </is>
      </c>
      <c r="B1097" s="1" t="n">
        <v>45632.65679398148</v>
      </c>
      <c r="C1097" s="1" t="n">
        <v>45952</v>
      </c>
      <c r="D1097" t="inlineStr">
        <is>
          <t>VÄSTERBOTTENS LÄN</t>
        </is>
      </c>
      <c r="E1097" t="inlineStr">
        <is>
          <t>LYCKSELE</t>
        </is>
      </c>
      <c r="F1097" t="inlineStr">
        <is>
          <t>SCA</t>
        </is>
      </c>
      <c r="G1097" t="n">
        <v>10.4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45837-2025</t>
        </is>
      </c>
      <c r="B1098" s="1" t="n">
        <v>45923.61178240741</v>
      </c>
      <c r="C1098" s="1" t="n">
        <v>45952</v>
      </c>
      <c r="D1098" t="inlineStr">
        <is>
          <t>VÄSTERBOTTENS LÄN</t>
        </is>
      </c>
      <c r="E1098" t="inlineStr">
        <is>
          <t>LYCKSELE</t>
        </is>
      </c>
      <c r="F1098" t="inlineStr">
        <is>
          <t>Sveaskog</t>
        </is>
      </c>
      <c r="G1098" t="n">
        <v>1.6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50018-2024</t>
        </is>
      </c>
      <c r="B1099" s="1" t="n">
        <v>45599</v>
      </c>
      <c r="C1099" s="1" t="n">
        <v>45952</v>
      </c>
      <c r="D1099" t="inlineStr">
        <is>
          <t>VÄSTERBOTTENS LÄN</t>
        </is>
      </c>
      <c r="E1099" t="inlineStr">
        <is>
          <t>LYCKSELE</t>
        </is>
      </c>
      <c r="F1099" t="inlineStr">
        <is>
          <t>Sveaskog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67092-2021</t>
        </is>
      </c>
      <c r="B1100" s="1" t="n">
        <v>44522</v>
      </c>
      <c r="C1100" s="1" t="n">
        <v>45952</v>
      </c>
      <c r="D1100" t="inlineStr">
        <is>
          <t>VÄSTERBOTTENS LÄN</t>
        </is>
      </c>
      <c r="E1100" t="inlineStr">
        <is>
          <t>LYCKSELE</t>
        </is>
      </c>
      <c r="F1100" t="inlineStr">
        <is>
          <t>SCA</t>
        </is>
      </c>
      <c r="G1100" t="n">
        <v>2.7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30425-2024</t>
        </is>
      </c>
      <c r="B1101" s="1" t="n">
        <v>45491.67836805555</v>
      </c>
      <c r="C1101" s="1" t="n">
        <v>45952</v>
      </c>
      <c r="D1101" t="inlineStr">
        <is>
          <t>VÄSTERBOTTENS LÄN</t>
        </is>
      </c>
      <c r="E1101" t="inlineStr">
        <is>
          <t>LYCKSELE</t>
        </is>
      </c>
      <c r="F1101" t="inlineStr">
        <is>
          <t>Sveaskog</t>
        </is>
      </c>
      <c r="G1101" t="n">
        <v>3.9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21213-2023</t>
        </is>
      </c>
      <c r="B1102" s="1" t="n">
        <v>45058</v>
      </c>
      <c r="C1102" s="1" t="n">
        <v>45952</v>
      </c>
      <c r="D1102" t="inlineStr">
        <is>
          <t>VÄSTERBOTTENS LÄN</t>
        </is>
      </c>
      <c r="E1102" t="inlineStr">
        <is>
          <t>LYCKSELE</t>
        </is>
      </c>
      <c r="G1102" t="n">
        <v>5.7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21666-2024</t>
        </is>
      </c>
      <c r="B1103" s="1" t="n">
        <v>45441.85204861111</v>
      </c>
      <c r="C1103" s="1" t="n">
        <v>45952</v>
      </c>
      <c r="D1103" t="inlineStr">
        <is>
          <t>VÄSTERBOTTENS LÄN</t>
        </is>
      </c>
      <c r="E1103" t="inlineStr">
        <is>
          <t>LYCKSELE</t>
        </is>
      </c>
      <c r="G1103" t="n">
        <v>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37970-2025</t>
        </is>
      </c>
      <c r="B1104" s="1" t="n">
        <v>45881.6677199074</v>
      </c>
      <c r="C1104" s="1" t="n">
        <v>45952</v>
      </c>
      <c r="D1104" t="inlineStr">
        <is>
          <t>VÄSTERBOTTENS LÄN</t>
        </is>
      </c>
      <c r="E1104" t="inlineStr">
        <is>
          <t>LYCKSELE</t>
        </is>
      </c>
      <c r="F1104" t="inlineStr">
        <is>
          <t>Holmen skog AB</t>
        </is>
      </c>
      <c r="G1104" t="n">
        <v>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37977-2025</t>
        </is>
      </c>
      <c r="B1105" s="1" t="n">
        <v>45881.67791666667</v>
      </c>
      <c r="C1105" s="1" t="n">
        <v>45952</v>
      </c>
      <c r="D1105" t="inlineStr">
        <is>
          <t>VÄSTERBOTTENS LÄN</t>
        </is>
      </c>
      <c r="E1105" t="inlineStr">
        <is>
          <t>LYCKSELE</t>
        </is>
      </c>
      <c r="F1105" t="inlineStr">
        <is>
          <t>SCA</t>
        </is>
      </c>
      <c r="G1105" t="n">
        <v>4.8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36146-2023</t>
        </is>
      </c>
      <c r="B1106" s="1" t="n">
        <v>45149.59932870371</v>
      </c>
      <c r="C1106" s="1" t="n">
        <v>45952</v>
      </c>
      <c r="D1106" t="inlineStr">
        <is>
          <t>VÄSTERBOTTENS LÄN</t>
        </is>
      </c>
      <c r="E1106" t="inlineStr">
        <is>
          <t>LYCKSELE</t>
        </is>
      </c>
      <c r="G1106" t="n">
        <v>2.3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35284-2023</t>
        </is>
      </c>
      <c r="B1107" s="1" t="n">
        <v>45145</v>
      </c>
      <c r="C1107" s="1" t="n">
        <v>45952</v>
      </c>
      <c r="D1107" t="inlineStr">
        <is>
          <t>VÄSTERBOTTENS LÄN</t>
        </is>
      </c>
      <c r="E1107" t="inlineStr">
        <is>
          <t>LYCKSELE</t>
        </is>
      </c>
      <c r="F1107" t="inlineStr">
        <is>
          <t>SCA</t>
        </is>
      </c>
      <c r="G1107" t="n">
        <v>0.5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37952-2025</t>
        </is>
      </c>
      <c r="B1108" s="1" t="n">
        <v>45881.63590277778</v>
      </c>
      <c r="C1108" s="1" t="n">
        <v>45952</v>
      </c>
      <c r="D1108" t="inlineStr">
        <is>
          <t>VÄSTERBOTTENS LÄN</t>
        </is>
      </c>
      <c r="E1108" t="inlineStr">
        <is>
          <t>LYCKSELE</t>
        </is>
      </c>
      <c r="F1108" t="inlineStr">
        <is>
          <t>SCA</t>
        </is>
      </c>
      <c r="G1108" t="n">
        <v>6.1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38012-2025</t>
        </is>
      </c>
      <c r="B1109" s="1" t="n">
        <v>45882.30746527778</v>
      </c>
      <c r="C1109" s="1" t="n">
        <v>45952</v>
      </c>
      <c r="D1109" t="inlineStr">
        <is>
          <t>VÄSTERBOTTENS LÄN</t>
        </is>
      </c>
      <c r="E1109" t="inlineStr">
        <is>
          <t>LYCKSELE</t>
        </is>
      </c>
      <c r="G1109" t="n">
        <v>4.2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38325-2025</t>
        </is>
      </c>
      <c r="B1110" s="1" t="n">
        <v>45883.49055555555</v>
      </c>
      <c r="C1110" s="1" t="n">
        <v>45952</v>
      </c>
      <c r="D1110" t="inlineStr">
        <is>
          <t>VÄSTERBOTTENS LÄN</t>
        </is>
      </c>
      <c r="E1110" t="inlineStr">
        <is>
          <t>LYCKSELE</t>
        </is>
      </c>
      <c r="F1110" t="inlineStr">
        <is>
          <t>SCA</t>
        </is>
      </c>
      <c r="G1110" t="n">
        <v>1.7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46074-2025</t>
        </is>
      </c>
      <c r="B1111" s="1" t="n">
        <v>45924.50053240741</v>
      </c>
      <c r="C1111" s="1" t="n">
        <v>45952</v>
      </c>
      <c r="D1111" t="inlineStr">
        <is>
          <t>VÄSTERBOTTENS LÄN</t>
        </is>
      </c>
      <c r="E1111" t="inlineStr">
        <is>
          <t>LYCKSELE</t>
        </is>
      </c>
      <c r="F1111" t="inlineStr">
        <is>
          <t>Holmen skog AB</t>
        </is>
      </c>
      <c r="G1111" t="n">
        <v>0.6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46286-2025</t>
        </is>
      </c>
      <c r="B1112" s="1" t="n">
        <v>45925.38423611111</v>
      </c>
      <c r="C1112" s="1" t="n">
        <v>45952</v>
      </c>
      <c r="D1112" t="inlineStr">
        <is>
          <t>VÄSTERBOTTENS LÄN</t>
        </is>
      </c>
      <c r="E1112" t="inlineStr">
        <is>
          <t>LYCKSELE</t>
        </is>
      </c>
      <c r="G1112" t="n">
        <v>9.699999999999999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46077-2025</t>
        </is>
      </c>
      <c r="B1113" s="1" t="n">
        <v>45924.50491898148</v>
      </c>
      <c r="C1113" s="1" t="n">
        <v>45952</v>
      </c>
      <c r="D1113" t="inlineStr">
        <is>
          <t>VÄSTERBOTTENS LÄN</t>
        </is>
      </c>
      <c r="E1113" t="inlineStr">
        <is>
          <t>LYCKSELE</t>
        </is>
      </c>
      <c r="F1113" t="inlineStr">
        <is>
          <t>Holmen skog AB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38347-2025</t>
        </is>
      </c>
      <c r="B1114" s="1" t="n">
        <v>45883.51207175926</v>
      </c>
      <c r="C1114" s="1" t="n">
        <v>45952</v>
      </c>
      <c r="D1114" t="inlineStr">
        <is>
          <t>VÄSTERBOTTENS LÄN</t>
        </is>
      </c>
      <c r="E1114" t="inlineStr">
        <is>
          <t>LYCKSELE</t>
        </is>
      </c>
      <c r="G1114" t="n">
        <v>2.4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34929-2023</t>
        </is>
      </c>
      <c r="B1115" s="1" t="n">
        <v>45142</v>
      </c>
      <c r="C1115" s="1" t="n">
        <v>45952</v>
      </c>
      <c r="D1115" t="inlineStr">
        <is>
          <t>VÄSTERBOTTENS LÄN</t>
        </is>
      </c>
      <c r="E1115" t="inlineStr">
        <is>
          <t>LYCKSELE</t>
        </is>
      </c>
      <c r="F1115" t="inlineStr">
        <is>
          <t>Sveaskog</t>
        </is>
      </c>
      <c r="G1115" t="n">
        <v>1.5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45963-2025</t>
        </is>
      </c>
      <c r="B1116" s="1" t="n">
        <v>45924.35145833333</v>
      </c>
      <c r="C1116" s="1" t="n">
        <v>45952</v>
      </c>
      <c r="D1116" t="inlineStr">
        <is>
          <t>VÄSTERBOTTENS LÄN</t>
        </is>
      </c>
      <c r="E1116" t="inlineStr">
        <is>
          <t>LYCKSELE</t>
        </is>
      </c>
      <c r="G1116" t="n">
        <v>8.9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46189-2025</t>
        </is>
      </c>
      <c r="B1117" s="1" t="n">
        <v>45924.66530092592</v>
      </c>
      <c r="C1117" s="1" t="n">
        <v>45952</v>
      </c>
      <c r="D1117" t="inlineStr">
        <is>
          <t>VÄSTERBOTTENS LÄN</t>
        </is>
      </c>
      <c r="E1117" t="inlineStr">
        <is>
          <t>LYCKSELE</t>
        </is>
      </c>
      <c r="G1117" t="n">
        <v>0.9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46181-2025</t>
        </is>
      </c>
      <c r="B1118" s="1" t="n">
        <v>45924.65697916667</v>
      </c>
      <c r="C1118" s="1" t="n">
        <v>45952</v>
      </c>
      <c r="D1118" t="inlineStr">
        <is>
          <t>VÄSTERBOTTENS LÄN</t>
        </is>
      </c>
      <c r="E1118" t="inlineStr">
        <is>
          <t>LYCKSELE</t>
        </is>
      </c>
      <c r="F1118" t="inlineStr">
        <is>
          <t>SCA</t>
        </is>
      </c>
      <c r="G1118" t="n">
        <v>11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29185-2022</t>
        </is>
      </c>
      <c r="B1119" s="1" t="n">
        <v>44750.54626157408</v>
      </c>
      <c r="C1119" s="1" t="n">
        <v>45952</v>
      </c>
      <c r="D1119" t="inlineStr">
        <is>
          <t>VÄSTERBOTTENS LÄN</t>
        </is>
      </c>
      <c r="E1119" t="inlineStr">
        <is>
          <t>LYCKSELE</t>
        </is>
      </c>
      <c r="F1119" t="inlineStr">
        <is>
          <t>Holmen skog AB</t>
        </is>
      </c>
      <c r="G1119" t="n">
        <v>1.9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37823-2025</t>
        </is>
      </c>
      <c r="B1120" s="1" t="n">
        <v>45881.40667824074</v>
      </c>
      <c r="C1120" s="1" t="n">
        <v>45952</v>
      </c>
      <c r="D1120" t="inlineStr">
        <is>
          <t>VÄSTERBOTTENS LÄN</t>
        </is>
      </c>
      <c r="E1120" t="inlineStr">
        <is>
          <t>LYCKSELE</t>
        </is>
      </c>
      <c r="F1120" t="inlineStr">
        <is>
          <t>Sveaskog</t>
        </is>
      </c>
      <c r="G1120" t="n">
        <v>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44289-2024</t>
        </is>
      </c>
      <c r="B1121" s="1" t="n">
        <v>45573.51078703703</v>
      </c>
      <c r="C1121" s="1" t="n">
        <v>45952</v>
      </c>
      <c r="D1121" t="inlineStr">
        <is>
          <t>VÄSTERBOTTENS LÄN</t>
        </is>
      </c>
      <c r="E1121" t="inlineStr">
        <is>
          <t>LYCKSELE</t>
        </is>
      </c>
      <c r="F1121" t="inlineStr">
        <is>
          <t>SCA</t>
        </is>
      </c>
      <c r="G1121" t="n">
        <v>4.4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35569-2024</t>
        </is>
      </c>
      <c r="B1122" s="1" t="n">
        <v>45531.6409375</v>
      </c>
      <c r="C1122" s="1" t="n">
        <v>45952</v>
      </c>
      <c r="D1122" t="inlineStr">
        <is>
          <t>VÄSTERBOTTENS LÄN</t>
        </is>
      </c>
      <c r="E1122" t="inlineStr">
        <is>
          <t>LYCKSELE</t>
        </is>
      </c>
      <c r="F1122" t="inlineStr">
        <is>
          <t>Sveaskog</t>
        </is>
      </c>
      <c r="G1122" t="n">
        <v>2.6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48405-2024</t>
        </is>
      </c>
      <c r="B1123" s="1" t="n">
        <v>45590.62112268519</v>
      </c>
      <c r="C1123" s="1" t="n">
        <v>45952</v>
      </c>
      <c r="D1123" t="inlineStr">
        <is>
          <t>VÄSTERBOTTENS LÄN</t>
        </is>
      </c>
      <c r="E1123" t="inlineStr">
        <is>
          <t>LYCKSELE</t>
        </is>
      </c>
      <c r="F1123" t="inlineStr">
        <is>
          <t>Holmen skog AB</t>
        </is>
      </c>
      <c r="G1123" t="n">
        <v>3.2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60122-2022</t>
        </is>
      </c>
      <c r="B1124" s="1" t="n">
        <v>44909</v>
      </c>
      <c r="C1124" s="1" t="n">
        <v>45952</v>
      </c>
      <c r="D1124" t="inlineStr">
        <is>
          <t>VÄSTERBOTTENS LÄN</t>
        </is>
      </c>
      <c r="E1124" t="inlineStr">
        <is>
          <t>LYCKSELE</t>
        </is>
      </c>
      <c r="F1124" t="inlineStr">
        <is>
          <t>Sveaskog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44672-2024</t>
        </is>
      </c>
      <c r="B1125" s="1" t="n">
        <v>45574.53748842593</v>
      </c>
      <c r="C1125" s="1" t="n">
        <v>45952</v>
      </c>
      <c r="D1125" t="inlineStr">
        <is>
          <t>VÄSTERBOTTENS LÄN</t>
        </is>
      </c>
      <c r="E1125" t="inlineStr">
        <is>
          <t>LYCKSELE</t>
        </is>
      </c>
      <c r="F1125" t="inlineStr">
        <is>
          <t>Sveaskog</t>
        </is>
      </c>
      <c r="G1125" t="n">
        <v>11.6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40361-2024</t>
        </is>
      </c>
      <c r="B1126" s="1" t="n">
        <v>45555.37684027778</v>
      </c>
      <c r="C1126" s="1" t="n">
        <v>45952</v>
      </c>
      <c r="D1126" t="inlineStr">
        <is>
          <t>VÄSTERBOTTENS LÄN</t>
        </is>
      </c>
      <c r="E1126" t="inlineStr">
        <is>
          <t>LYCKSELE</t>
        </is>
      </c>
      <c r="G1126" t="n">
        <v>14.7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31648-2024</t>
        </is>
      </c>
      <c r="B1127" s="1" t="n">
        <v>45506.61575231481</v>
      </c>
      <c r="C1127" s="1" t="n">
        <v>45952</v>
      </c>
      <c r="D1127" t="inlineStr">
        <is>
          <t>VÄSTERBOTTENS LÄN</t>
        </is>
      </c>
      <c r="E1127" t="inlineStr">
        <is>
          <t>LYCKSELE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57818-2021</t>
        </is>
      </c>
      <c r="B1128" s="1" t="n">
        <v>44484.64653935185</v>
      </c>
      <c r="C1128" s="1" t="n">
        <v>45952</v>
      </c>
      <c r="D1128" t="inlineStr">
        <is>
          <t>VÄSTERBOTTENS LÄN</t>
        </is>
      </c>
      <c r="E1128" t="inlineStr">
        <is>
          <t>LYCKSELE</t>
        </is>
      </c>
      <c r="G1128" t="n">
        <v>5.4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34857-2024</t>
        </is>
      </c>
      <c r="B1129" s="1" t="n">
        <v>45527.32915509259</v>
      </c>
      <c r="C1129" s="1" t="n">
        <v>45952</v>
      </c>
      <c r="D1129" t="inlineStr">
        <is>
          <t>VÄSTERBOTTENS LÄN</t>
        </is>
      </c>
      <c r="E1129" t="inlineStr">
        <is>
          <t>LYCKSELE</t>
        </is>
      </c>
      <c r="F1129" t="inlineStr">
        <is>
          <t>Sveaskog</t>
        </is>
      </c>
      <c r="G1129" t="n">
        <v>2.3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20344-2025</t>
        </is>
      </c>
      <c r="B1130" s="1" t="n">
        <v>45775.37510416667</v>
      </c>
      <c r="C1130" s="1" t="n">
        <v>45952</v>
      </c>
      <c r="D1130" t="inlineStr">
        <is>
          <t>VÄSTERBOTTENS LÄN</t>
        </is>
      </c>
      <c r="E1130" t="inlineStr">
        <is>
          <t>LYCKSELE</t>
        </is>
      </c>
      <c r="F1130" t="inlineStr">
        <is>
          <t>Sveaskog</t>
        </is>
      </c>
      <c r="G1130" t="n">
        <v>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15037-2025</t>
        </is>
      </c>
      <c r="B1131" s="1" t="n">
        <v>45743.68226851852</v>
      </c>
      <c r="C1131" s="1" t="n">
        <v>45952</v>
      </c>
      <c r="D1131" t="inlineStr">
        <is>
          <t>VÄSTERBOTTENS LÄN</t>
        </is>
      </c>
      <c r="E1131" t="inlineStr">
        <is>
          <t>LYCKSELE</t>
        </is>
      </c>
      <c r="G1131" t="n">
        <v>12.1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36150-2024</t>
        </is>
      </c>
      <c r="B1132" s="1" t="n">
        <v>45534.36832175926</v>
      </c>
      <c r="C1132" s="1" t="n">
        <v>45952</v>
      </c>
      <c r="D1132" t="inlineStr">
        <is>
          <t>VÄSTERBOTTENS LÄN</t>
        </is>
      </c>
      <c r="E1132" t="inlineStr">
        <is>
          <t>LYCKSELE</t>
        </is>
      </c>
      <c r="F1132" t="inlineStr">
        <is>
          <t>Holmen skog AB</t>
        </is>
      </c>
      <c r="G1132" t="n">
        <v>1.7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64656-2023</t>
        </is>
      </c>
      <c r="B1133" s="1" t="n">
        <v>45281</v>
      </c>
      <c r="C1133" s="1" t="n">
        <v>45952</v>
      </c>
      <c r="D1133" t="inlineStr">
        <is>
          <t>VÄSTERBOTTENS LÄN</t>
        </is>
      </c>
      <c r="E1133" t="inlineStr">
        <is>
          <t>LYCKSELE</t>
        </is>
      </c>
      <c r="G1133" t="n">
        <v>12.3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70195-2021</t>
        </is>
      </c>
      <c r="B1134" s="1" t="n">
        <v>44534.49537037037</v>
      </c>
      <c r="C1134" s="1" t="n">
        <v>45952</v>
      </c>
      <c r="D1134" t="inlineStr">
        <is>
          <t>VÄSTERBOTTENS LÄN</t>
        </is>
      </c>
      <c r="E1134" t="inlineStr">
        <is>
          <t>LYCKSELE</t>
        </is>
      </c>
      <c r="G1134" t="n">
        <v>1.4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40527-2024</t>
        </is>
      </c>
      <c r="B1135" s="1" t="n">
        <v>45555.60515046296</v>
      </c>
      <c r="C1135" s="1" t="n">
        <v>45952</v>
      </c>
      <c r="D1135" t="inlineStr">
        <is>
          <t>VÄSTERBOTTENS LÄN</t>
        </is>
      </c>
      <c r="E1135" t="inlineStr">
        <is>
          <t>LYCKSELE</t>
        </is>
      </c>
      <c r="F1135" t="inlineStr">
        <is>
          <t>Sveaskog</t>
        </is>
      </c>
      <c r="G1135" t="n">
        <v>8.9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24289-2023</t>
        </is>
      </c>
      <c r="B1136" s="1" t="n">
        <v>45079.92747685185</v>
      </c>
      <c r="C1136" s="1" t="n">
        <v>45952</v>
      </c>
      <c r="D1136" t="inlineStr">
        <is>
          <t>VÄSTERBOTTENS LÄN</t>
        </is>
      </c>
      <c r="E1136" t="inlineStr">
        <is>
          <t>LYCKSELE</t>
        </is>
      </c>
      <c r="G1136" t="n">
        <v>1.1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28893-2024</t>
        </is>
      </c>
      <c r="B1137" s="1" t="n">
        <v>45479.949375</v>
      </c>
      <c r="C1137" s="1" t="n">
        <v>45952</v>
      </c>
      <c r="D1137" t="inlineStr">
        <is>
          <t>VÄSTERBOTTENS LÄN</t>
        </is>
      </c>
      <c r="E1137" t="inlineStr">
        <is>
          <t>LYCKSELE</t>
        </is>
      </c>
      <c r="F1137" t="inlineStr">
        <is>
          <t>SCA</t>
        </is>
      </c>
      <c r="G1137" t="n">
        <v>2.2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20161-2025</t>
        </is>
      </c>
      <c r="B1138" s="1" t="n">
        <v>45772.56854166667</v>
      </c>
      <c r="C1138" s="1" t="n">
        <v>45952</v>
      </c>
      <c r="D1138" t="inlineStr">
        <is>
          <t>VÄSTERBOTTENS LÄN</t>
        </is>
      </c>
      <c r="E1138" t="inlineStr">
        <is>
          <t>LYCKSELE</t>
        </is>
      </c>
      <c r="F1138" t="inlineStr">
        <is>
          <t>Holmen skog AB</t>
        </is>
      </c>
      <c r="G1138" t="n">
        <v>6.5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60482-2024</t>
        </is>
      </c>
      <c r="B1139" s="1" t="n">
        <v>45643.63650462963</v>
      </c>
      <c r="C1139" s="1" t="n">
        <v>45952</v>
      </c>
      <c r="D1139" t="inlineStr">
        <is>
          <t>VÄSTERBOTTENS LÄN</t>
        </is>
      </c>
      <c r="E1139" t="inlineStr">
        <is>
          <t>LYCKSELE</t>
        </is>
      </c>
      <c r="F1139" t="inlineStr">
        <is>
          <t>Sveaskog</t>
        </is>
      </c>
      <c r="G1139" t="n">
        <v>7.8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33726-2022</t>
        </is>
      </c>
      <c r="B1140" s="1" t="n">
        <v>44789</v>
      </c>
      <c r="C1140" s="1" t="n">
        <v>45952</v>
      </c>
      <c r="D1140" t="inlineStr">
        <is>
          <t>VÄSTERBOTTENS LÄN</t>
        </is>
      </c>
      <c r="E1140" t="inlineStr">
        <is>
          <t>LYCKSELE</t>
        </is>
      </c>
      <c r="F1140" t="inlineStr">
        <is>
          <t>SCA</t>
        </is>
      </c>
      <c r="G1140" t="n">
        <v>12.7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53096-2024</t>
        </is>
      </c>
      <c r="B1141" s="1" t="n">
        <v>45611.53107638889</v>
      </c>
      <c r="C1141" s="1" t="n">
        <v>45952</v>
      </c>
      <c r="D1141" t="inlineStr">
        <is>
          <t>VÄSTERBOTTENS LÄN</t>
        </is>
      </c>
      <c r="E1141" t="inlineStr">
        <is>
          <t>LYCKSELE</t>
        </is>
      </c>
      <c r="F1141" t="inlineStr">
        <is>
          <t>Sveaskog</t>
        </is>
      </c>
      <c r="G1141" t="n">
        <v>8.4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55203-2024</t>
        </is>
      </c>
      <c r="B1142" s="1" t="n">
        <v>45621.55994212963</v>
      </c>
      <c r="C1142" s="1" t="n">
        <v>45952</v>
      </c>
      <c r="D1142" t="inlineStr">
        <is>
          <t>VÄSTERBOTTENS LÄN</t>
        </is>
      </c>
      <c r="E1142" t="inlineStr">
        <is>
          <t>LYCKSELE</t>
        </is>
      </c>
      <c r="F1142" t="inlineStr">
        <is>
          <t>Sveaskog</t>
        </is>
      </c>
      <c r="G1142" t="n">
        <v>3.2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60061-2023</t>
        </is>
      </c>
      <c r="B1143" s="1" t="n">
        <v>45258.38234953704</v>
      </c>
      <c r="C1143" s="1" t="n">
        <v>45952</v>
      </c>
      <c r="D1143" t="inlineStr">
        <is>
          <t>VÄSTERBOTTENS LÄN</t>
        </is>
      </c>
      <c r="E1143" t="inlineStr">
        <is>
          <t>LYCKSELE</t>
        </is>
      </c>
      <c r="G1143" t="n">
        <v>4.4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64281-2023</t>
        </is>
      </c>
      <c r="B1144" s="1" t="n">
        <v>45279</v>
      </c>
      <c r="C1144" s="1" t="n">
        <v>45952</v>
      </c>
      <c r="D1144" t="inlineStr">
        <is>
          <t>VÄSTERBOTTENS LÄN</t>
        </is>
      </c>
      <c r="E1144" t="inlineStr">
        <is>
          <t>LYCKSELE</t>
        </is>
      </c>
      <c r="G1144" t="n">
        <v>8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37491-2023</t>
        </is>
      </c>
      <c r="B1145" s="1" t="n">
        <v>45156</v>
      </c>
      <c r="C1145" s="1" t="n">
        <v>45952</v>
      </c>
      <c r="D1145" t="inlineStr">
        <is>
          <t>VÄSTERBOTTENS LÄN</t>
        </is>
      </c>
      <c r="E1145" t="inlineStr">
        <is>
          <t>LYCKSELE</t>
        </is>
      </c>
      <c r="F1145" t="inlineStr">
        <is>
          <t>SCA</t>
        </is>
      </c>
      <c r="G1145" t="n">
        <v>0.4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61895-2024</t>
        </is>
      </c>
      <c r="B1146" s="1" t="n">
        <v>45652.74261574074</v>
      </c>
      <c r="C1146" s="1" t="n">
        <v>45952</v>
      </c>
      <c r="D1146" t="inlineStr">
        <is>
          <t>VÄSTERBOTTENS LÄN</t>
        </is>
      </c>
      <c r="E1146" t="inlineStr">
        <is>
          <t>LYCKSELE</t>
        </is>
      </c>
      <c r="G1146" t="n">
        <v>2.7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11640-2024</t>
        </is>
      </c>
      <c r="B1147" s="1" t="n">
        <v>45373</v>
      </c>
      <c r="C1147" s="1" t="n">
        <v>45952</v>
      </c>
      <c r="D1147" t="inlineStr">
        <is>
          <t>VÄSTERBOTTENS LÄN</t>
        </is>
      </c>
      <c r="E1147" t="inlineStr">
        <is>
          <t>LYCKSELE</t>
        </is>
      </c>
      <c r="G1147" t="n">
        <v>0.5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33693-2024</t>
        </is>
      </c>
      <c r="B1148" s="1" t="n">
        <v>45520.51587962963</v>
      </c>
      <c r="C1148" s="1" t="n">
        <v>45952</v>
      </c>
      <c r="D1148" t="inlineStr">
        <is>
          <t>VÄSTERBOTTENS LÄN</t>
        </is>
      </c>
      <c r="E1148" t="inlineStr">
        <is>
          <t>LYCKSELE</t>
        </is>
      </c>
      <c r="F1148" t="inlineStr">
        <is>
          <t>Sveaskog</t>
        </is>
      </c>
      <c r="G1148" t="n">
        <v>1.3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957-2023</t>
        </is>
      </c>
      <c r="B1149" s="1" t="n">
        <v>44934.85548611111</v>
      </c>
      <c r="C1149" s="1" t="n">
        <v>45952</v>
      </c>
      <c r="D1149" t="inlineStr">
        <is>
          <t>VÄSTERBOTTENS LÄN</t>
        </is>
      </c>
      <c r="E1149" t="inlineStr">
        <is>
          <t>LYCKSELE</t>
        </is>
      </c>
      <c r="F1149" t="inlineStr">
        <is>
          <t>Sveaskog</t>
        </is>
      </c>
      <c r="G1149" t="n">
        <v>3.4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16289-2025</t>
        </is>
      </c>
      <c r="B1150" s="1" t="n">
        <v>45751.32021990741</v>
      </c>
      <c r="C1150" s="1" t="n">
        <v>45952</v>
      </c>
      <c r="D1150" t="inlineStr">
        <is>
          <t>VÄSTERBOTTENS LÄN</t>
        </is>
      </c>
      <c r="E1150" t="inlineStr">
        <is>
          <t>LYCKSELE</t>
        </is>
      </c>
      <c r="F1150" t="inlineStr">
        <is>
          <t>Holmen skog AB</t>
        </is>
      </c>
      <c r="G1150" t="n">
        <v>0.7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5856-2025</t>
        </is>
      </c>
      <c r="B1151" s="1" t="n">
        <v>45695.34431712963</v>
      </c>
      <c r="C1151" s="1" t="n">
        <v>45952</v>
      </c>
      <c r="D1151" t="inlineStr">
        <is>
          <t>VÄSTERBOTTENS LÄN</t>
        </is>
      </c>
      <c r="E1151" t="inlineStr">
        <is>
          <t>LYCKSELE</t>
        </is>
      </c>
      <c r="F1151" t="inlineStr">
        <is>
          <t>SCA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8915-2025</t>
        </is>
      </c>
      <c r="B1152" s="1" t="n">
        <v>45713</v>
      </c>
      <c r="C1152" s="1" t="n">
        <v>45952</v>
      </c>
      <c r="D1152" t="inlineStr">
        <is>
          <t>VÄSTERBOTTENS LÄN</t>
        </is>
      </c>
      <c r="E1152" t="inlineStr">
        <is>
          <t>LYCKSELE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33708-2024</t>
        </is>
      </c>
      <c r="B1153" s="1" t="n">
        <v>45520.526875</v>
      </c>
      <c r="C1153" s="1" t="n">
        <v>45952</v>
      </c>
      <c r="D1153" t="inlineStr">
        <is>
          <t>VÄSTERBOTTENS LÄN</t>
        </is>
      </c>
      <c r="E1153" t="inlineStr">
        <is>
          <t>LYCKSELE</t>
        </is>
      </c>
      <c r="F1153" t="inlineStr">
        <is>
          <t>Sveaskog</t>
        </is>
      </c>
      <c r="G1153" t="n">
        <v>2.7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33714-2024</t>
        </is>
      </c>
      <c r="B1154" s="1" t="n">
        <v>45520.53230324074</v>
      </c>
      <c r="C1154" s="1" t="n">
        <v>45952</v>
      </c>
      <c r="D1154" t="inlineStr">
        <is>
          <t>VÄSTERBOTTENS LÄN</t>
        </is>
      </c>
      <c r="E1154" t="inlineStr">
        <is>
          <t>LYCKSELE</t>
        </is>
      </c>
      <c r="F1154" t="inlineStr">
        <is>
          <t>Sveaskog</t>
        </is>
      </c>
      <c r="G1154" t="n">
        <v>10.4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34273-2024</t>
        </is>
      </c>
      <c r="B1155" s="1" t="n">
        <v>45524.61850694445</v>
      </c>
      <c r="C1155" s="1" t="n">
        <v>45952</v>
      </c>
      <c r="D1155" t="inlineStr">
        <is>
          <t>VÄSTERBOTTENS LÄN</t>
        </is>
      </c>
      <c r="E1155" t="inlineStr">
        <is>
          <t>LYCKSELE</t>
        </is>
      </c>
      <c r="G1155" t="n">
        <v>6.7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14249-2025</t>
        </is>
      </c>
      <c r="B1156" s="1" t="n">
        <v>45740</v>
      </c>
      <c r="C1156" s="1" t="n">
        <v>45952</v>
      </c>
      <c r="D1156" t="inlineStr">
        <is>
          <t>VÄSTERBOTTENS LÄN</t>
        </is>
      </c>
      <c r="E1156" t="inlineStr">
        <is>
          <t>LYCKSELE</t>
        </is>
      </c>
      <c r="F1156" t="inlineStr">
        <is>
          <t>SCA</t>
        </is>
      </c>
      <c r="G1156" t="n">
        <v>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>
      <c r="A1157" t="inlineStr">
        <is>
          <t>A 9976-2024</t>
        </is>
      </c>
      <c r="B1157" s="1" t="n">
        <v>45363</v>
      </c>
      <c r="C1157" s="1" t="n">
        <v>45952</v>
      </c>
      <c r="D1157" t="inlineStr">
        <is>
          <t>VÄSTERBOTTENS LÄN</t>
        </is>
      </c>
      <c r="E1157" t="inlineStr">
        <is>
          <t>LYCKSELE</t>
        </is>
      </c>
      <c r="F1157" t="inlineStr">
        <is>
          <t>Holmen skog AB</t>
        </is>
      </c>
      <c r="G1157" t="n">
        <v>2.9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2025-10-22T11:33:26Z</dcterms:created>
  <dcterms:modified xmlns:dcterms="http://purl.org/dc/terms/" xmlns:xsi="http://www.w3.org/2001/XMLSchema-instance" xsi:type="dcterms:W3CDTF">2025-10-22T11:33:27Z</dcterms:modified>
</cp:coreProperties>
</file>