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45958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50837-2025</t>
        </is>
      </c>
      <c r="B3" s="1" t="n">
        <v>45946.55902777778</v>
      </c>
      <c r="C3" s="1" t="n">
        <v>45958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41.7</v>
      </c>
      <c r="H3" t="n">
        <v>5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8</v>
      </c>
      <c r="R3" s="2" t="inlineStr">
        <is>
          <t>Garnlav
Gränsticka
Spillkråka
Vaddporing
Korallrot
Plattlummer
Fläcknycklar
Mattlummer</t>
        </is>
      </c>
      <c r="S3">
        <f>HYPERLINK("https://klasma.github.io/Logging_2513/artfynd/A 50837-2025 artfynd.xlsx", "A 50837-2025")</f>
        <v/>
      </c>
      <c r="T3">
        <f>HYPERLINK("https://klasma.github.io/Logging_2513/kartor/A 50837-2025 karta.png", "A 50837-2025")</f>
        <v/>
      </c>
      <c r="V3">
        <f>HYPERLINK("https://klasma.github.io/Logging_2513/klagomål/A 50837-2025 FSC-klagomål.docx", "A 50837-2025")</f>
        <v/>
      </c>
      <c r="W3">
        <f>HYPERLINK("https://klasma.github.io/Logging_2513/klagomålsmail/A 50837-2025 FSC-klagomål mail.docx", "A 50837-2025")</f>
        <v/>
      </c>
      <c r="X3">
        <f>HYPERLINK("https://klasma.github.io/Logging_2513/tillsyn/A 50837-2025 tillsynsbegäran.docx", "A 50837-2025")</f>
        <v/>
      </c>
      <c r="Y3">
        <f>HYPERLINK("https://klasma.github.io/Logging_2513/tillsynsmail/A 50837-2025 tillsynsbegäran mail.docx", "A 50837-2025")</f>
        <v/>
      </c>
      <c r="Z3">
        <f>HYPERLINK("https://klasma.github.io/Logging_2513/fåglar/A 50837-2025 prioriterade fågelarter.docx", "A 50837-2025")</f>
        <v/>
      </c>
    </row>
    <row r="4" ht="15" customHeight="1">
      <c r="A4" t="inlineStr">
        <is>
          <t>A 37997-2024</t>
        </is>
      </c>
      <c r="B4" s="1" t="n">
        <v>45544</v>
      </c>
      <c r="C4" s="1" t="n">
        <v>45958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1.9</v>
      </c>
      <c r="H4" t="n">
        <v>2</v>
      </c>
      <c r="I4" t="n">
        <v>1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6</v>
      </c>
      <c r="R4" s="2" t="inlineStr">
        <is>
          <t>Knärot
Gammelgransskål
Kolflarnlav
Lunglav
Motaggsvamp
Spindelblomster</t>
        </is>
      </c>
      <c r="S4">
        <f>HYPERLINK("https://klasma.github.io/Logging_2513/artfynd/A 37997-2024 artfynd.xlsx", "A 37997-2024")</f>
        <v/>
      </c>
      <c r="T4">
        <f>HYPERLINK("https://klasma.github.io/Logging_2513/kartor/A 37997-2024 karta.png", "A 37997-2024")</f>
        <v/>
      </c>
      <c r="U4">
        <f>HYPERLINK("https://klasma.github.io/Logging_2513/knärot/A 37997-2024 karta knärot.png", "A 37997-2024")</f>
        <v/>
      </c>
      <c r="V4">
        <f>HYPERLINK("https://klasma.github.io/Logging_2513/klagomål/A 37997-2024 FSC-klagomål.docx", "A 37997-2024")</f>
        <v/>
      </c>
      <c r="W4">
        <f>HYPERLINK("https://klasma.github.io/Logging_2513/klagomålsmail/A 37997-2024 FSC-klagomål mail.docx", "A 37997-2024")</f>
        <v/>
      </c>
      <c r="X4">
        <f>HYPERLINK("https://klasma.github.io/Logging_2513/tillsyn/A 37997-2024 tillsynsbegäran.docx", "A 37997-2024")</f>
        <v/>
      </c>
      <c r="Y4">
        <f>HYPERLINK("https://klasma.github.io/Logging_2513/tillsynsmail/A 37997-2024 tillsynsbegäran mail.docx", "A 37997-2024")</f>
        <v/>
      </c>
    </row>
    <row r="5" ht="15" customHeight="1">
      <c r="A5" t="inlineStr">
        <is>
          <t>A 40208-2025</t>
        </is>
      </c>
      <c r="B5" s="1" t="n">
        <v>45894</v>
      </c>
      <c r="C5" s="1" t="n">
        <v>45958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23.5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Garnlav
Lunglav
Plattlummer
Stuplav
Fläcknycklar</t>
        </is>
      </c>
      <c r="S5">
        <f>HYPERLINK("https://klasma.github.io/Logging_2513/artfynd/A 40208-2025 artfynd.xlsx", "A 40208-2025")</f>
        <v/>
      </c>
      <c r="T5">
        <f>HYPERLINK("https://klasma.github.io/Logging_2513/kartor/A 40208-2025 karta.png", "A 40208-2025")</f>
        <v/>
      </c>
      <c r="U5">
        <f>HYPERLINK("https://klasma.github.io/Logging_2513/knärot/A 40208-2025 karta knärot.png", "A 40208-2025")</f>
        <v/>
      </c>
      <c r="V5">
        <f>HYPERLINK("https://klasma.github.io/Logging_2513/klagomål/A 40208-2025 FSC-klagomål.docx", "A 40208-2025")</f>
        <v/>
      </c>
      <c r="W5">
        <f>HYPERLINK("https://klasma.github.io/Logging_2513/klagomålsmail/A 40208-2025 FSC-klagomål mail.docx", "A 40208-2025")</f>
        <v/>
      </c>
      <c r="X5">
        <f>HYPERLINK("https://klasma.github.io/Logging_2513/tillsyn/A 40208-2025 tillsynsbegäran.docx", "A 40208-2025")</f>
        <v/>
      </c>
      <c r="Y5">
        <f>HYPERLINK("https://klasma.github.io/Logging_2513/tillsynsmail/A 40208-2025 tillsynsbegäran mail.docx", "A 40208-2025")</f>
        <v/>
      </c>
    </row>
    <row r="6" ht="15" customHeight="1">
      <c r="A6" t="inlineStr">
        <is>
          <t>A 38989-2023</t>
        </is>
      </c>
      <c r="B6" s="1" t="n">
        <v>45163.65806712963</v>
      </c>
      <c r="C6" s="1" t="n">
        <v>45958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2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Goliatmusseron
Blå taggsvamp
Motaggsvamp
Orange taggsvamp
Dropptaggsvamp</t>
        </is>
      </c>
      <c r="S6">
        <f>HYPERLINK("https://klasma.github.io/Logging_2513/artfynd/A 38989-2023 artfynd.xlsx", "A 38989-2023")</f>
        <v/>
      </c>
      <c r="T6">
        <f>HYPERLINK("https://klasma.github.io/Logging_2513/kartor/A 38989-2023 karta.png", "A 38989-2023")</f>
        <v/>
      </c>
      <c r="V6">
        <f>HYPERLINK("https://klasma.github.io/Logging_2513/klagomål/A 38989-2023 FSC-klagomål.docx", "A 38989-2023")</f>
        <v/>
      </c>
      <c r="W6">
        <f>HYPERLINK("https://klasma.github.io/Logging_2513/klagomålsmail/A 38989-2023 FSC-klagomål mail.docx", "A 38989-2023")</f>
        <v/>
      </c>
      <c r="X6">
        <f>HYPERLINK("https://klasma.github.io/Logging_2513/tillsyn/A 38989-2023 tillsynsbegäran.docx", "A 38989-2023")</f>
        <v/>
      </c>
      <c r="Y6">
        <f>HYPERLINK("https://klasma.github.io/Logging_2513/tillsynsmail/A 38989-2023 tillsynsbegäran mail.docx", "A 38989-2023")</f>
        <v/>
      </c>
    </row>
    <row r="7" ht="15" customHeight="1">
      <c r="A7" t="inlineStr">
        <is>
          <t>A 49422-2023</t>
        </is>
      </c>
      <c r="B7" s="1" t="n">
        <v>45211.46008101852</v>
      </c>
      <c r="C7" s="1" t="n">
        <v>45958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5.6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Tallgråticka
Blå taggsvamp
Orange taggsvamp
Svartvit taggsvamp
Dropptaggsvamp</t>
        </is>
      </c>
      <c r="S7">
        <f>HYPERLINK("https://klasma.github.io/Logging_2513/artfynd/A 49422-2023 artfynd.xlsx", "A 49422-2023")</f>
        <v/>
      </c>
      <c r="T7">
        <f>HYPERLINK("https://klasma.github.io/Logging_2513/kartor/A 49422-2023 karta.png", "A 49422-2023")</f>
        <v/>
      </c>
      <c r="V7">
        <f>HYPERLINK("https://klasma.github.io/Logging_2513/klagomål/A 49422-2023 FSC-klagomål.docx", "A 49422-2023")</f>
        <v/>
      </c>
      <c r="W7">
        <f>HYPERLINK("https://klasma.github.io/Logging_2513/klagomålsmail/A 49422-2023 FSC-klagomål mail.docx", "A 49422-2023")</f>
        <v/>
      </c>
      <c r="X7">
        <f>HYPERLINK("https://klasma.github.io/Logging_2513/tillsyn/A 49422-2023 tillsynsbegäran.docx", "A 49422-2023")</f>
        <v/>
      </c>
      <c r="Y7">
        <f>HYPERLINK("https://klasma.github.io/Logging_2513/tillsynsmail/A 49422-2023 tillsynsbegäran mail.docx", "A 49422-2023")</f>
        <v/>
      </c>
    </row>
    <row r="8" ht="15" customHeight="1">
      <c r="A8" t="inlineStr">
        <is>
          <t>A 2344-2024</t>
        </is>
      </c>
      <c r="B8" s="1" t="n">
        <v>45310</v>
      </c>
      <c r="C8" s="1" t="n">
        <v>45958</v>
      </c>
      <c r="D8" t="inlineStr">
        <is>
          <t>NORRBOTTENS LÄN</t>
        </is>
      </c>
      <c r="E8" t="inlineStr">
        <is>
          <t>ÖVERKALIX</t>
        </is>
      </c>
      <c r="G8" t="n">
        <v>25.7</v>
      </c>
      <c r="H8" t="n">
        <v>2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Tornseglare
Dvärgbägarlav
Garnlav
Reliktbock
Tretåig hackspett</t>
        </is>
      </c>
      <c r="S8">
        <f>HYPERLINK("https://klasma.github.io/Logging_2513/artfynd/A 2344-2024 artfynd.xlsx", "A 2344-2024")</f>
        <v/>
      </c>
      <c r="T8">
        <f>HYPERLINK("https://klasma.github.io/Logging_2513/kartor/A 2344-2024 karta.png", "A 2344-2024")</f>
        <v/>
      </c>
      <c r="U8">
        <f>HYPERLINK("https://klasma.github.io/Logging_2513/knärot/A 2344-2024 karta knärot.png", "A 2344-2024")</f>
        <v/>
      </c>
      <c r="V8">
        <f>HYPERLINK("https://klasma.github.io/Logging_2513/klagomål/A 2344-2024 FSC-klagomål.docx", "A 2344-2024")</f>
        <v/>
      </c>
      <c r="W8">
        <f>HYPERLINK("https://klasma.github.io/Logging_2513/klagomålsmail/A 2344-2024 FSC-klagomål mail.docx", "A 2344-2024")</f>
        <v/>
      </c>
      <c r="X8">
        <f>HYPERLINK("https://klasma.github.io/Logging_2513/tillsyn/A 2344-2024 tillsynsbegäran.docx", "A 2344-2024")</f>
        <v/>
      </c>
      <c r="Y8">
        <f>HYPERLINK("https://klasma.github.io/Logging_2513/tillsynsmail/A 2344-2024 tillsynsbegäran mail.docx", "A 2344-2024")</f>
        <v/>
      </c>
      <c r="Z8">
        <f>HYPERLINK("https://klasma.github.io/Logging_2513/fåglar/A 2344-2024 prioriterade fågelarter.docx", "A 2344-2024")</f>
        <v/>
      </c>
    </row>
    <row r="9" ht="15" customHeight="1">
      <c r="A9" t="inlineStr">
        <is>
          <t>A 36983-2025</t>
        </is>
      </c>
      <c r="B9" s="1" t="n">
        <v>45874.64776620371</v>
      </c>
      <c r="C9" s="1" t="n">
        <v>45958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1.7</v>
      </c>
      <c r="H9" t="n">
        <v>0</v>
      </c>
      <c r="I9" t="n">
        <v>0</v>
      </c>
      <c r="J9" t="n">
        <v>2</v>
      </c>
      <c r="K9" t="n">
        <v>0</v>
      </c>
      <c r="L9" t="n">
        <v>2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Djupsvart brunbagge
Karelsk barkfluga
Rosenticka
Ullticka</t>
        </is>
      </c>
      <c r="S9">
        <f>HYPERLINK("https://klasma.github.io/Logging_2513/artfynd/A 36983-2025 artfynd.xlsx", "A 36983-2025")</f>
        <v/>
      </c>
      <c r="T9">
        <f>HYPERLINK("https://klasma.github.io/Logging_2513/kartor/A 36983-2025 karta.png", "A 36983-2025")</f>
        <v/>
      </c>
      <c r="V9">
        <f>HYPERLINK("https://klasma.github.io/Logging_2513/klagomål/A 36983-2025 FSC-klagomål.docx", "A 36983-2025")</f>
        <v/>
      </c>
      <c r="W9">
        <f>HYPERLINK("https://klasma.github.io/Logging_2513/klagomålsmail/A 36983-2025 FSC-klagomål mail.docx", "A 36983-2025")</f>
        <v/>
      </c>
      <c r="X9">
        <f>HYPERLINK("https://klasma.github.io/Logging_2513/tillsyn/A 36983-2025 tillsynsbegäran.docx", "A 36983-2025")</f>
        <v/>
      </c>
      <c r="Y9">
        <f>HYPERLINK("https://klasma.github.io/Logging_2513/tillsynsmail/A 36983-2025 tillsynsbegäran mail.docx", "A 36983-2025")</f>
        <v/>
      </c>
    </row>
    <row r="10" ht="15" customHeight="1">
      <c r="A10" t="inlineStr">
        <is>
          <t>A 1827-2025</t>
        </is>
      </c>
      <c r="B10" s="1" t="n">
        <v>45671</v>
      </c>
      <c r="C10" s="1" t="n">
        <v>45958</v>
      </c>
      <c r="D10" t="inlineStr">
        <is>
          <t>NORRBOTTENS LÄN</t>
        </is>
      </c>
      <c r="E10" t="inlineStr">
        <is>
          <t>ÖVERKALIX</t>
        </is>
      </c>
      <c r="G10" t="n">
        <v>7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Spillkråka
Stuplav</t>
        </is>
      </c>
      <c r="S10">
        <f>HYPERLINK("https://klasma.github.io/Logging_2513/artfynd/A 1827-2025 artfynd.xlsx", "A 1827-2025")</f>
        <v/>
      </c>
      <c r="T10">
        <f>HYPERLINK("https://klasma.github.io/Logging_2513/kartor/A 1827-2025 karta.png", "A 1827-2025")</f>
        <v/>
      </c>
      <c r="V10">
        <f>HYPERLINK("https://klasma.github.io/Logging_2513/klagomål/A 1827-2025 FSC-klagomål.docx", "A 1827-2025")</f>
        <v/>
      </c>
      <c r="W10">
        <f>HYPERLINK("https://klasma.github.io/Logging_2513/klagomålsmail/A 1827-2025 FSC-klagomål mail.docx", "A 1827-2025")</f>
        <v/>
      </c>
      <c r="X10">
        <f>HYPERLINK("https://klasma.github.io/Logging_2513/tillsyn/A 1827-2025 tillsynsbegäran.docx", "A 1827-2025")</f>
        <v/>
      </c>
      <c r="Y10">
        <f>HYPERLINK("https://klasma.github.io/Logging_2513/tillsynsmail/A 1827-2025 tillsynsbegäran mail.docx", "A 1827-2025")</f>
        <v/>
      </c>
      <c r="Z10">
        <f>HYPERLINK("https://klasma.github.io/Logging_2513/fåglar/A 1827-2025 prioriterade fågelarter.docx", "A 1827-2025")</f>
        <v/>
      </c>
    </row>
    <row r="11" ht="15" customHeight="1">
      <c r="A11" t="inlineStr">
        <is>
          <t>A 45578-2025</t>
        </is>
      </c>
      <c r="B11" s="1" t="n">
        <v>45922</v>
      </c>
      <c r="C11" s="1" t="n">
        <v>45958</v>
      </c>
      <c r="D11" t="inlineStr">
        <is>
          <t>NORRBOTTENS LÄN</t>
        </is>
      </c>
      <c r="E11" t="inlineStr">
        <is>
          <t>ÖVERKALIX</t>
        </is>
      </c>
      <c r="F11" t="inlineStr">
        <is>
          <t>Sveaskog</t>
        </is>
      </c>
      <c r="G11" t="n">
        <v>13.2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Blå taggsvamp
Orange taggsvamp
Talltaggsvamp</t>
        </is>
      </c>
      <c r="S11">
        <f>HYPERLINK("https://klasma.github.io/Logging_2513/artfynd/A 45578-2025 artfynd.xlsx", "A 45578-2025")</f>
        <v/>
      </c>
      <c r="T11">
        <f>HYPERLINK("https://klasma.github.io/Logging_2513/kartor/A 45578-2025 karta.png", "A 45578-2025")</f>
        <v/>
      </c>
      <c r="V11">
        <f>HYPERLINK("https://klasma.github.io/Logging_2513/klagomål/A 45578-2025 FSC-klagomål.docx", "A 45578-2025")</f>
        <v/>
      </c>
      <c r="W11">
        <f>HYPERLINK("https://klasma.github.io/Logging_2513/klagomålsmail/A 45578-2025 FSC-klagomål mail.docx", "A 45578-2025")</f>
        <v/>
      </c>
      <c r="X11">
        <f>HYPERLINK("https://klasma.github.io/Logging_2513/tillsyn/A 45578-2025 tillsynsbegäran.docx", "A 45578-2025")</f>
        <v/>
      </c>
      <c r="Y11">
        <f>HYPERLINK("https://klasma.github.io/Logging_2513/tillsynsmail/A 45578-2025 tillsynsbegäran mail.docx", "A 45578-2025")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45958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HYPERLINK("https://klasma.github.io/Logging_2513/artfynd/A 5797-2022 artfynd.xlsx", "A 5797-2022")</f>
        <v/>
      </c>
      <c r="T12">
        <f>HYPERLINK("https://klasma.github.io/Logging_2513/kartor/A 5797-2022 karta.png", "A 5797-2022")</f>
        <v/>
      </c>
      <c r="V12">
        <f>HYPERLINK("https://klasma.github.io/Logging_2513/klagomål/A 5797-2022 FSC-klagomål.docx", "A 5797-2022")</f>
        <v/>
      </c>
      <c r="W12">
        <f>HYPERLINK("https://klasma.github.io/Logging_2513/klagomålsmail/A 5797-2022 FSC-klagomål mail.docx", "A 5797-2022")</f>
        <v/>
      </c>
      <c r="X12">
        <f>HYPERLINK("https://klasma.github.io/Logging_2513/tillsyn/A 5797-2022 tillsynsbegäran.docx", "A 5797-2022")</f>
        <v/>
      </c>
      <c r="Y12">
        <f>HYPERLINK("https://klasma.github.io/Logging_2513/tillsynsmail/A 5797-2022 tillsynsbegäran mail.docx", "A 5797-2022")</f>
        <v/>
      </c>
    </row>
    <row r="13" ht="15" customHeight="1">
      <c r="A13" t="inlineStr">
        <is>
          <t>A 52326-2021</t>
        </is>
      </c>
      <c r="B13" s="1" t="n">
        <v>44463</v>
      </c>
      <c r="C13" s="1" t="n">
        <v>45958</v>
      </c>
      <c r="D13" t="inlineStr">
        <is>
          <t>NORRBOTTENS LÄN</t>
        </is>
      </c>
      <c r="E13" t="inlineStr">
        <is>
          <t>ÖVERKALIX</t>
        </is>
      </c>
      <c r="F13" t="inlineStr">
        <is>
          <t>SCA</t>
        </is>
      </c>
      <c r="G13" t="n">
        <v>1.2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Tallriska
Talltaggsvamp</t>
        </is>
      </c>
      <c r="S13">
        <f>HYPERLINK("https://klasma.github.io/Logging_2513/artfynd/A 52326-2021 artfynd.xlsx", "A 52326-2021")</f>
        <v/>
      </c>
      <c r="T13">
        <f>HYPERLINK("https://klasma.github.io/Logging_2513/kartor/A 52326-2021 karta.png", "A 52326-2021")</f>
        <v/>
      </c>
      <c r="V13">
        <f>HYPERLINK("https://klasma.github.io/Logging_2513/klagomål/A 52326-2021 FSC-klagomål.docx", "A 52326-2021")</f>
        <v/>
      </c>
      <c r="W13">
        <f>HYPERLINK("https://klasma.github.io/Logging_2513/klagomålsmail/A 52326-2021 FSC-klagomål mail.docx", "A 52326-2021")</f>
        <v/>
      </c>
      <c r="X13">
        <f>HYPERLINK("https://klasma.github.io/Logging_2513/tillsyn/A 52326-2021 tillsynsbegäran.docx", "A 52326-2021")</f>
        <v/>
      </c>
      <c r="Y13">
        <f>HYPERLINK("https://klasma.github.io/Logging_2513/tillsynsmail/A 52326-2021 tillsynsbegäran mail.docx", "A 52326-2021")</f>
        <v/>
      </c>
    </row>
    <row r="14" ht="15" customHeight="1">
      <c r="A14" t="inlineStr">
        <is>
          <t>A 37905-2024</t>
        </is>
      </c>
      <c r="B14" s="1" t="n">
        <v>45544</v>
      </c>
      <c r="C14" s="1" t="n">
        <v>45958</v>
      </c>
      <c r="D14" t="inlineStr">
        <is>
          <t>NORRBOTTENS LÄN</t>
        </is>
      </c>
      <c r="E14" t="inlineStr">
        <is>
          <t>ÖVERKALIX</t>
        </is>
      </c>
      <c r="G14" t="n">
        <v>25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Plattlummer
Mattlummer</t>
        </is>
      </c>
      <c r="S14">
        <f>HYPERLINK("https://klasma.github.io/Logging_2513/artfynd/A 37905-2024 artfynd.xlsx", "A 37905-2024")</f>
        <v/>
      </c>
      <c r="T14">
        <f>HYPERLINK("https://klasma.github.io/Logging_2513/kartor/A 37905-2024 karta.png", "A 37905-2024")</f>
        <v/>
      </c>
      <c r="V14">
        <f>HYPERLINK("https://klasma.github.io/Logging_2513/klagomål/A 37905-2024 FSC-klagomål.docx", "A 37905-2024")</f>
        <v/>
      </c>
      <c r="W14">
        <f>HYPERLINK("https://klasma.github.io/Logging_2513/klagomålsmail/A 37905-2024 FSC-klagomål mail.docx", "A 37905-2024")</f>
        <v/>
      </c>
      <c r="X14">
        <f>HYPERLINK("https://klasma.github.io/Logging_2513/tillsyn/A 37905-2024 tillsynsbegäran.docx", "A 37905-2024")</f>
        <v/>
      </c>
      <c r="Y14">
        <f>HYPERLINK("https://klasma.github.io/Logging_2513/tillsynsmail/A 37905-2024 tillsynsbegäran mail.docx", "A 37905-2024")</f>
        <v/>
      </c>
    </row>
    <row r="15" ht="15" customHeight="1">
      <c r="A15" t="inlineStr">
        <is>
          <t>A 45577-2025</t>
        </is>
      </c>
      <c r="B15" s="1" t="n">
        <v>45922</v>
      </c>
      <c r="C15" s="1" t="n">
        <v>45958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13.7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Blå taggsvamp
Skarp dropptaggsvamp</t>
        </is>
      </c>
      <c r="S15">
        <f>HYPERLINK("https://klasma.github.io/Logging_2513/artfynd/A 45577-2025 artfynd.xlsx", "A 45577-2025")</f>
        <v/>
      </c>
      <c r="T15">
        <f>HYPERLINK("https://klasma.github.io/Logging_2513/kartor/A 45577-2025 karta.png", "A 45577-2025")</f>
        <v/>
      </c>
      <c r="V15">
        <f>HYPERLINK("https://klasma.github.io/Logging_2513/klagomål/A 45577-2025 FSC-klagomål.docx", "A 45577-2025")</f>
        <v/>
      </c>
      <c r="W15">
        <f>HYPERLINK("https://klasma.github.io/Logging_2513/klagomålsmail/A 45577-2025 FSC-klagomål mail.docx", "A 45577-2025")</f>
        <v/>
      </c>
      <c r="X15">
        <f>HYPERLINK("https://klasma.github.io/Logging_2513/tillsyn/A 45577-2025 tillsynsbegäran.docx", "A 45577-2025")</f>
        <v/>
      </c>
      <c r="Y15">
        <f>HYPERLINK("https://klasma.github.io/Logging_2513/tillsynsmail/A 45577-2025 tillsynsbegäran mail.docx", "A 45577-2025")</f>
        <v/>
      </c>
    </row>
    <row r="16" ht="15" customHeight="1">
      <c r="A16" t="inlineStr">
        <is>
          <t>A 17802-2025</t>
        </is>
      </c>
      <c r="B16" s="1" t="n">
        <v>45758.55125</v>
      </c>
      <c r="C16" s="1" t="n">
        <v>45958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1.6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Hökuggla
Tjäder</t>
        </is>
      </c>
      <c r="S16">
        <f>HYPERLINK("https://klasma.github.io/Logging_2513/artfynd/A 17802-2025 artfynd.xlsx", "A 17802-2025")</f>
        <v/>
      </c>
      <c r="T16">
        <f>HYPERLINK("https://klasma.github.io/Logging_2513/kartor/A 17802-2025 karta.png", "A 17802-2025")</f>
        <v/>
      </c>
      <c r="V16">
        <f>HYPERLINK("https://klasma.github.io/Logging_2513/klagomål/A 17802-2025 FSC-klagomål.docx", "A 17802-2025")</f>
        <v/>
      </c>
      <c r="W16">
        <f>HYPERLINK("https://klasma.github.io/Logging_2513/klagomålsmail/A 17802-2025 FSC-klagomål mail.docx", "A 17802-2025")</f>
        <v/>
      </c>
      <c r="X16">
        <f>HYPERLINK("https://klasma.github.io/Logging_2513/tillsyn/A 17802-2025 tillsynsbegäran.docx", "A 17802-2025")</f>
        <v/>
      </c>
      <c r="Y16">
        <f>HYPERLINK("https://klasma.github.io/Logging_2513/tillsynsmail/A 17802-2025 tillsynsbegäran mail.docx", "A 17802-2025")</f>
        <v/>
      </c>
      <c r="Z16">
        <f>HYPERLINK("https://klasma.github.io/Logging_2513/fåglar/A 17802-2025 prioriterade fågelarter.docx", "A 17802-2025")</f>
        <v/>
      </c>
    </row>
    <row r="17" ht="15" customHeight="1">
      <c r="A17" t="inlineStr">
        <is>
          <t>A 40706-2023</t>
        </is>
      </c>
      <c r="B17" s="1" t="n">
        <v>45170</v>
      </c>
      <c r="C17" s="1" t="n">
        <v>45958</v>
      </c>
      <c r="D17" t="inlineStr">
        <is>
          <t>NORRBOTTENS LÄN</t>
        </is>
      </c>
      <c r="E17" t="inlineStr">
        <is>
          <t>ÖVERKALIX</t>
        </is>
      </c>
      <c r="F17" t="inlineStr">
        <is>
          <t>Sveaskog</t>
        </is>
      </c>
      <c r="G17" t="n">
        <v>7.1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HYPERLINK("https://klasma.github.io/Logging_2513/artfynd/A 40706-2023 artfynd.xlsx", "A 40706-2023")</f>
        <v/>
      </c>
      <c r="T17">
        <f>HYPERLINK("https://klasma.github.io/Logging_2513/kartor/A 40706-2023 karta.png", "A 40706-2023")</f>
        <v/>
      </c>
      <c r="U17">
        <f>HYPERLINK("https://klasma.github.io/Logging_2513/knärot/A 40706-2023 karta knärot.png", "A 40706-2023")</f>
        <v/>
      </c>
      <c r="V17">
        <f>HYPERLINK("https://klasma.github.io/Logging_2513/klagomål/A 40706-2023 FSC-klagomål.docx", "A 40706-2023")</f>
        <v/>
      </c>
      <c r="W17">
        <f>HYPERLINK("https://klasma.github.io/Logging_2513/klagomålsmail/A 40706-2023 FSC-klagomål mail.docx", "A 40706-2023")</f>
        <v/>
      </c>
      <c r="X17">
        <f>HYPERLINK("https://klasma.github.io/Logging_2513/tillsyn/A 40706-2023 tillsynsbegäran.docx", "A 40706-2023")</f>
        <v/>
      </c>
      <c r="Y17">
        <f>HYPERLINK("https://klasma.github.io/Logging_2513/tillsynsmail/A 40706-2023 tillsynsbegäran mail.docx", "A 40706-2023")</f>
        <v/>
      </c>
    </row>
    <row r="18" ht="15" customHeight="1">
      <c r="A18" t="inlineStr">
        <is>
          <t>A 28577-2024</t>
        </is>
      </c>
      <c r="B18" s="1" t="n">
        <v>45478</v>
      </c>
      <c r="C18" s="1" t="n">
        <v>45958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0.8</v>
      </c>
      <c r="H18" t="n">
        <v>1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Månlåsbräken
Plattlummer</t>
        </is>
      </c>
      <c r="S18">
        <f>HYPERLINK("https://klasma.github.io/Logging_2513/artfynd/A 28577-2024 artfynd.xlsx", "A 28577-2024")</f>
        <v/>
      </c>
      <c r="T18">
        <f>HYPERLINK("https://klasma.github.io/Logging_2513/kartor/A 28577-2024 karta.png", "A 28577-2024")</f>
        <v/>
      </c>
      <c r="V18">
        <f>HYPERLINK("https://klasma.github.io/Logging_2513/klagomål/A 28577-2024 FSC-klagomål.docx", "A 28577-2024")</f>
        <v/>
      </c>
      <c r="W18">
        <f>HYPERLINK("https://klasma.github.io/Logging_2513/klagomålsmail/A 28577-2024 FSC-klagomål mail.docx", "A 28577-2024")</f>
        <v/>
      </c>
      <c r="X18">
        <f>HYPERLINK("https://klasma.github.io/Logging_2513/tillsyn/A 28577-2024 tillsynsbegäran.docx", "A 28577-2024")</f>
        <v/>
      </c>
      <c r="Y18">
        <f>HYPERLINK("https://klasma.github.io/Logging_2513/tillsynsmail/A 28577-2024 tillsynsbegäran mail.docx", "A 28577-2024")</f>
        <v/>
      </c>
    </row>
    <row r="19" ht="15" customHeight="1">
      <c r="A19" t="inlineStr">
        <is>
          <t>A 36803-2023</t>
        </is>
      </c>
      <c r="B19" s="1" t="n">
        <v>45154</v>
      </c>
      <c r="C19" s="1" t="n">
        <v>45958</v>
      </c>
      <c r="D19" t="inlineStr">
        <is>
          <t>NORRBOTTENS LÄN</t>
        </is>
      </c>
      <c r="E19" t="inlineStr">
        <is>
          <t>ÖVERKALIX</t>
        </is>
      </c>
      <c r="G19" t="n">
        <v>3.1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Revlummer</t>
        </is>
      </c>
      <c r="S19">
        <f>HYPERLINK("https://klasma.github.io/Logging_2513/artfynd/A 36803-2023 artfynd.xlsx", "A 36803-2023")</f>
        <v/>
      </c>
      <c r="T19">
        <f>HYPERLINK("https://klasma.github.io/Logging_2513/kartor/A 36803-2023 karta.png", "A 36803-2023")</f>
        <v/>
      </c>
      <c r="U19">
        <f>HYPERLINK("https://klasma.github.io/Logging_2513/knärot/A 36803-2023 karta knärot.png", "A 36803-2023")</f>
        <v/>
      </c>
      <c r="V19">
        <f>HYPERLINK("https://klasma.github.io/Logging_2513/klagomål/A 36803-2023 FSC-klagomål.docx", "A 36803-2023")</f>
        <v/>
      </c>
      <c r="W19">
        <f>HYPERLINK("https://klasma.github.io/Logging_2513/klagomålsmail/A 36803-2023 FSC-klagomål mail.docx", "A 36803-2023")</f>
        <v/>
      </c>
      <c r="X19">
        <f>HYPERLINK("https://klasma.github.io/Logging_2513/tillsyn/A 36803-2023 tillsynsbegäran.docx", "A 36803-2023")</f>
        <v/>
      </c>
      <c r="Y19">
        <f>HYPERLINK("https://klasma.github.io/Logging_2513/tillsynsmail/A 36803-2023 tillsynsbegäran mail.docx", "A 36803-2023")</f>
        <v/>
      </c>
    </row>
    <row r="20" ht="15" customHeight="1">
      <c r="A20" t="inlineStr">
        <is>
          <t>A 30525-2025</t>
        </is>
      </c>
      <c r="B20" s="1" t="n">
        <v>45831.35403935185</v>
      </c>
      <c r="C20" s="1" t="n">
        <v>45958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5.3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Järpe</t>
        </is>
      </c>
      <c r="S20">
        <f>HYPERLINK("https://klasma.github.io/Logging_2513/artfynd/A 30525-2025 artfynd.xlsx", "A 30525-2025")</f>
        <v/>
      </c>
      <c r="T20">
        <f>HYPERLINK("https://klasma.github.io/Logging_2513/kartor/A 30525-2025 karta.png", "A 30525-2025")</f>
        <v/>
      </c>
      <c r="V20">
        <f>HYPERLINK("https://klasma.github.io/Logging_2513/klagomål/A 30525-2025 FSC-klagomål.docx", "A 30525-2025")</f>
        <v/>
      </c>
      <c r="W20">
        <f>HYPERLINK("https://klasma.github.io/Logging_2513/klagomålsmail/A 30525-2025 FSC-klagomål mail.docx", "A 30525-2025")</f>
        <v/>
      </c>
      <c r="X20">
        <f>HYPERLINK("https://klasma.github.io/Logging_2513/tillsyn/A 30525-2025 tillsynsbegäran.docx", "A 30525-2025")</f>
        <v/>
      </c>
      <c r="Y20">
        <f>HYPERLINK("https://klasma.github.io/Logging_2513/tillsynsmail/A 30525-2025 tillsynsbegäran mail.docx", "A 30525-2025")</f>
        <v/>
      </c>
      <c r="Z20">
        <f>HYPERLINK("https://klasma.github.io/Logging_2513/fåglar/A 30525-2025 prioriterade fågelarter.docx", "A 30525-2025")</f>
        <v/>
      </c>
    </row>
    <row r="21" ht="15" customHeight="1">
      <c r="A21" t="inlineStr">
        <is>
          <t>A 42861-2025</t>
        </is>
      </c>
      <c r="B21" s="1" t="n">
        <v>45908.61506944444</v>
      </c>
      <c r="C21" s="1" t="n">
        <v>45958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3.7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Blå taggsvamp
Dropptaggsvamp</t>
        </is>
      </c>
      <c r="S21">
        <f>HYPERLINK("https://klasma.github.io/Logging_2513/artfynd/A 42861-2025 artfynd.xlsx", "A 42861-2025")</f>
        <v/>
      </c>
      <c r="T21">
        <f>HYPERLINK("https://klasma.github.io/Logging_2513/kartor/A 42861-2025 karta.png", "A 42861-2025")</f>
        <v/>
      </c>
      <c r="V21">
        <f>HYPERLINK("https://klasma.github.io/Logging_2513/klagomål/A 42861-2025 FSC-klagomål.docx", "A 42861-2025")</f>
        <v/>
      </c>
      <c r="W21">
        <f>HYPERLINK("https://klasma.github.io/Logging_2513/klagomålsmail/A 42861-2025 FSC-klagomål mail.docx", "A 42861-2025")</f>
        <v/>
      </c>
      <c r="X21">
        <f>HYPERLINK("https://klasma.github.io/Logging_2513/tillsyn/A 42861-2025 tillsynsbegäran.docx", "A 42861-2025")</f>
        <v/>
      </c>
      <c r="Y21">
        <f>HYPERLINK("https://klasma.github.io/Logging_2513/tillsynsmail/A 42861-2025 tillsynsbegäran mail.docx", "A 42861-2025")</f>
        <v/>
      </c>
    </row>
    <row r="22" ht="15" customHeight="1">
      <c r="A22" t="inlineStr">
        <is>
          <t>A 42872-2025</t>
        </is>
      </c>
      <c r="B22" s="1" t="n">
        <v>45908</v>
      </c>
      <c r="C22" s="1" t="n">
        <v>45958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Blå taggsvamp
Skarp dropptaggsvamp</t>
        </is>
      </c>
      <c r="S22">
        <f>HYPERLINK("https://klasma.github.io/Logging_2513/artfynd/A 42872-2025 artfynd.xlsx", "A 42872-2025")</f>
        <v/>
      </c>
      <c r="T22">
        <f>HYPERLINK("https://klasma.github.io/Logging_2513/kartor/A 42872-2025 karta.png", "A 42872-2025")</f>
        <v/>
      </c>
      <c r="V22">
        <f>HYPERLINK("https://klasma.github.io/Logging_2513/klagomål/A 42872-2025 FSC-klagomål.docx", "A 42872-2025")</f>
        <v/>
      </c>
      <c r="W22">
        <f>HYPERLINK("https://klasma.github.io/Logging_2513/klagomålsmail/A 42872-2025 FSC-klagomål mail.docx", "A 42872-2025")</f>
        <v/>
      </c>
      <c r="X22">
        <f>HYPERLINK("https://klasma.github.io/Logging_2513/tillsyn/A 42872-2025 tillsynsbegäran.docx", "A 42872-2025")</f>
        <v/>
      </c>
      <c r="Y22">
        <f>HYPERLINK("https://klasma.github.io/Logging_2513/tillsynsmail/A 42872-2025 tillsynsbegäran mail.docx", "A 42872-2025")</f>
        <v/>
      </c>
    </row>
    <row r="23" ht="15" customHeight="1">
      <c r="A23" t="inlineStr">
        <is>
          <t>A 19275-2025</t>
        </is>
      </c>
      <c r="B23" s="1" t="n">
        <v>45769</v>
      </c>
      <c r="C23" s="1" t="n">
        <v>45958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16.3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Plattlummer</t>
        </is>
      </c>
      <c r="S23">
        <f>HYPERLINK("https://klasma.github.io/Logging_2513/artfynd/A 19275-2025 artfynd.xlsx", "A 19275-2025")</f>
        <v/>
      </c>
      <c r="T23">
        <f>HYPERLINK("https://klasma.github.io/Logging_2513/kartor/A 19275-2025 karta.png", "A 19275-2025")</f>
        <v/>
      </c>
      <c r="U23">
        <f>HYPERLINK("https://klasma.github.io/Logging_2513/knärot/A 19275-2025 karta knärot.png", "A 19275-2025")</f>
        <v/>
      </c>
      <c r="V23">
        <f>HYPERLINK("https://klasma.github.io/Logging_2513/klagomål/A 19275-2025 FSC-klagomål.docx", "A 19275-2025")</f>
        <v/>
      </c>
      <c r="W23">
        <f>HYPERLINK("https://klasma.github.io/Logging_2513/klagomålsmail/A 19275-2025 FSC-klagomål mail.docx", "A 19275-2025")</f>
        <v/>
      </c>
      <c r="X23">
        <f>HYPERLINK("https://klasma.github.io/Logging_2513/tillsyn/A 19275-2025 tillsynsbegäran.docx", "A 19275-2025")</f>
        <v/>
      </c>
      <c r="Y23">
        <f>HYPERLINK("https://klasma.github.io/Logging_2513/tillsynsmail/A 19275-2025 tillsynsbegäran mail.docx", "A 19275-2025")</f>
        <v/>
      </c>
    </row>
    <row r="24" ht="15" customHeight="1">
      <c r="A24" t="inlineStr">
        <is>
          <t>A 36378-2024</t>
        </is>
      </c>
      <c r="B24" s="1" t="n">
        <v>45534</v>
      </c>
      <c r="C24" s="1" t="n">
        <v>45958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21.5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Lunglav
Fläcknycklar</t>
        </is>
      </c>
      <c r="S24">
        <f>HYPERLINK("https://klasma.github.io/Logging_2513/artfynd/A 36378-2024 artfynd.xlsx", "A 36378-2024")</f>
        <v/>
      </c>
      <c r="T24">
        <f>HYPERLINK("https://klasma.github.io/Logging_2513/kartor/A 36378-2024 karta.png", "A 36378-2024")</f>
        <v/>
      </c>
      <c r="V24">
        <f>HYPERLINK("https://klasma.github.io/Logging_2513/klagomål/A 36378-2024 FSC-klagomål.docx", "A 36378-2024")</f>
        <v/>
      </c>
      <c r="W24">
        <f>HYPERLINK("https://klasma.github.io/Logging_2513/klagomålsmail/A 36378-2024 FSC-klagomål mail.docx", "A 36378-2024")</f>
        <v/>
      </c>
      <c r="X24">
        <f>HYPERLINK("https://klasma.github.io/Logging_2513/tillsyn/A 36378-2024 tillsynsbegäran.docx", "A 36378-2024")</f>
        <v/>
      </c>
      <c r="Y24">
        <f>HYPERLINK("https://klasma.github.io/Logging_2513/tillsynsmail/A 36378-2024 tillsynsbegäran mail.docx", "A 36378-2024")</f>
        <v/>
      </c>
    </row>
    <row r="25" ht="15" customHeight="1">
      <c r="A25" t="inlineStr">
        <is>
          <t>A 13467-2022</t>
        </is>
      </c>
      <c r="B25" s="1" t="n">
        <v>44645</v>
      </c>
      <c r="C25" s="1" t="n">
        <v>45958</v>
      </c>
      <c r="D25" t="inlineStr">
        <is>
          <t>NORRBOTTENS LÄN</t>
        </is>
      </c>
      <c r="E25" t="inlineStr">
        <is>
          <t>ÖVERKALIX</t>
        </is>
      </c>
      <c r="G25" t="n">
        <v>6.8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HYPERLINK("https://klasma.github.io/Logging_2513/artfynd/A 13467-2022 artfynd.xlsx", "A 13467-2022")</f>
        <v/>
      </c>
      <c r="T25">
        <f>HYPERLINK("https://klasma.github.io/Logging_2513/kartor/A 13467-2022 karta.png", "A 13467-2022")</f>
        <v/>
      </c>
      <c r="V25">
        <f>HYPERLINK("https://klasma.github.io/Logging_2513/klagomål/A 13467-2022 FSC-klagomål.docx", "A 13467-2022")</f>
        <v/>
      </c>
      <c r="W25">
        <f>HYPERLINK("https://klasma.github.io/Logging_2513/klagomålsmail/A 13467-2022 FSC-klagomål mail.docx", "A 13467-2022")</f>
        <v/>
      </c>
      <c r="X25">
        <f>HYPERLINK("https://klasma.github.io/Logging_2513/tillsyn/A 13467-2022 tillsynsbegäran.docx", "A 13467-2022")</f>
        <v/>
      </c>
      <c r="Y25">
        <f>HYPERLINK("https://klasma.github.io/Logging_2513/tillsynsmail/A 13467-2022 tillsynsbegäran mail.docx", "A 13467-2022")</f>
        <v/>
      </c>
      <c r="Z25">
        <f>HYPERLINK("https://klasma.github.io/Logging_2513/fåglar/A 13467-2022 prioriterade fågelarter.docx", "A 13467-2022")</f>
        <v/>
      </c>
    </row>
    <row r="26" ht="15" customHeight="1">
      <c r="A26" t="inlineStr">
        <is>
          <t>A 15137-2022</t>
        </is>
      </c>
      <c r="B26" s="1" t="n">
        <v>44658</v>
      </c>
      <c r="C26" s="1" t="n">
        <v>45958</v>
      </c>
      <c r="D26" t="inlineStr">
        <is>
          <t>NORRBOTTENS LÄN</t>
        </is>
      </c>
      <c r="E26" t="inlineStr">
        <is>
          <t>ÖVERKALIX</t>
        </is>
      </c>
      <c r="G26" t="n">
        <v>5.7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HYPERLINK("https://klasma.github.io/Logging_2513/artfynd/A 15137-2022 artfynd.xlsx", "A 15137-2022")</f>
        <v/>
      </c>
      <c r="T26">
        <f>HYPERLINK("https://klasma.github.io/Logging_2513/kartor/A 15137-2022 karta.png", "A 15137-2022")</f>
        <v/>
      </c>
      <c r="V26">
        <f>HYPERLINK("https://klasma.github.io/Logging_2513/klagomål/A 15137-2022 FSC-klagomål.docx", "A 15137-2022")</f>
        <v/>
      </c>
      <c r="W26">
        <f>HYPERLINK("https://klasma.github.io/Logging_2513/klagomålsmail/A 15137-2022 FSC-klagomål mail.docx", "A 15137-2022")</f>
        <v/>
      </c>
      <c r="X26">
        <f>HYPERLINK("https://klasma.github.io/Logging_2513/tillsyn/A 15137-2022 tillsynsbegäran.docx", "A 15137-2022")</f>
        <v/>
      </c>
      <c r="Y26">
        <f>HYPERLINK("https://klasma.github.io/Logging_2513/tillsynsmail/A 15137-2022 tillsynsbegäran mail.docx", "A 15137-2022")</f>
        <v/>
      </c>
    </row>
    <row r="27" ht="15" customHeight="1">
      <c r="A27" t="inlineStr">
        <is>
          <t>A 47680-2024</t>
        </is>
      </c>
      <c r="B27" s="1" t="n">
        <v>45588.4158912037</v>
      </c>
      <c r="C27" s="1" t="n">
        <v>45958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2.1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HYPERLINK("https://klasma.github.io/Logging_2513/artfynd/A 47680-2024 artfynd.xlsx", "A 47680-2024")</f>
        <v/>
      </c>
      <c r="T27">
        <f>HYPERLINK("https://klasma.github.io/Logging_2513/kartor/A 47680-2024 karta.png", "A 47680-2024")</f>
        <v/>
      </c>
      <c r="V27">
        <f>HYPERLINK("https://klasma.github.io/Logging_2513/klagomål/A 47680-2024 FSC-klagomål.docx", "A 47680-2024")</f>
        <v/>
      </c>
      <c r="W27">
        <f>HYPERLINK("https://klasma.github.io/Logging_2513/klagomålsmail/A 47680-2024 FSC-klagomål mail.docx", "A 47680-2024")</f>
        <v/>
      </c>
      <c r="X27">
        <f>HYPERLINK("https://klasma.github.io/Logging_2513/tillsyn/A 47680-2024 tillsynsbegäran.docx", "A 47680-2024")</f>
        <v/>
      </c>
      <c r="Y27">
        <f>HYPERLINK("https://klasma.github.io/Logging_2513/tillsynsmail/A 47680-2024 tillsynsbegäran mail.docx", "A 47680-2024")</f>
        <v/>
      </c>
    </row>
    <row r="28" ht="15" customHeight="1">
      <c r="A28" t="inlineStr">
        <is>
          <t>A 60509-2021</t>
        </is>
      </c>
      <c r="B28" s="1" t="n">
        <v>44496</v>
      </c>
      <c r="C28" s="1" t="n">
        <v>45958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13.5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Stor aspticka</t>
        </is>
      </c>
      <c r="S28">
        <f>HYPERLINK("https://klasma.github.io/Logging_2513/artfynd/A 60509-2021 artfynd.xlsx", "A 60509-2021")</f>
        <v/>
      </c>
      <c r="T28">
        <f>HYPERLINK("https://klasma.github.io/Logging_2513/kartor/A 60509-2021 karta.png", "A 60509-2021")</f>
        <v/>
      </c>
      <c r="V28">
        <f>HYPERLINK("https://klasma.github.io/Logging_2513/klagomål/A 60509-2021 FSC-klagomål.docx", "A 60509-2021")</f>
        <v/>
      </c>
      <c r="W28">
        <f>HYPERLINK("https://klasma.github.io/Logging_2513/klagomålsmail/A 60509-2021 FSC-klagomål mail.docx", "A 60509-2021")</f>
        <v/>
      </c>
      <c r="X28">
        <f>HYPERLINK("https://klasma.github.io/Logging_2513/tillsyn/A 60509-2021 tillsynsbegäran.docx", "A 60509-2021")</f>
        <v/>
      </c>
      <c r="Y28">
        <f>HYPERLINK("https://klasma.github.io/Logging_2513/tillsynsmail/A 60509-2021 tillsynsbegäran mail.docx", "A 60509-2021")</f>
        <v/>
      </c>
    </row>
    <row r="29" ht="15" customHeight="1">
      <c r="A29" t="inlineStr">
        <is>
          <t>A 26305-2025</t>
        </is>
      </c>
      <c r="B29" s="1" t="n">
        <v>45805.64427083333</v>
      </c>
      <c r="C29" s="1" t="n">
        <v>45958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5.2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Luddlav</t>
        </is>
      </c>
      <c r="S29">
        <f>HYPERLINK("https://klasma.github.io/Logging_2513/artfynd/A 26305-2025 artfynd.xlsx", "A 26305-2025")</f>
        <v/>
      </c>
      <c r="T29">
        <f>HYPERLINK("https://klasma.github.io/Logging_2513/kartor/A 26305-2025 karta.png", "A 26305-2025")</f>
        <v/>
      </c>
      <c r="V29">
        <f>HYPERLINK("https://klasma.github.io/Logging_2513/klagomål/A 26305-2025 FSC-klagomål.docx", "A 26305-2025")</f>
        <v/>
      </c>
      <c r="W29">
        <f>HYPERLINK("https://klasma.github.io/Logging_2513/klagomålsmail/A 26305-2025 FSC-klagomål mail.docx", "A 26305-2025")</f>
        <v/>
      </c>
      <c r="X29">
        <f>HYPERLINK("https://klasma.github.io/Logging_2513/tillsyn/A 26305-2025 tillsynsbegäran.docx", "A 26305-2025")</f>
        <v/>
      </c>
      <c r="Y29">
        <f>HYPERLINK("https://klasma.github.io/Logging_2513/tillsynsmail/A 26305-2025 tillsynsbegäran mail.docx", "A 26305-2025")</f>
        <v/>
      </c>
    </row>
    <row r="30" ht="15" customHeight="1">
      <c r="A30" t="inlineStr">
        <is>
          <t>A 26447-2025</t>
        </is>
      </c>
      <c r="B30" s="1" t="n">
        <v>45807.41697916666</v>
      </c>
      <c r="C30" s="1" t="n">
        <v>45958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9.800000000000001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HYPERLINK("https://klasma.github.io/Logging_2513/artfynd/A 26447-2025 artfynd.xlsx", "A 26447-2025")</f>
        <v/>
      </c>
      <c r="T30">
        <f>HYPERLINK("https://klasma.github.io/Logging_2513/kartor/A 26447-2025 karta.png", "A 26447-2025")</f>
        <v/>
      </c>
      <c r="V30">
        <f>HYPERLINK("https://klasma.github.io/Logging_2513/klagomål/A 26447-2025 FSC-klagomål.docx", "A 26447-2025")</f>
        <v/>
      </c>
      <c r="W30">
        <f>HYPERLINK("https://klasma.github.io/Logging_2513/klagomålsmail/A 26447-2025 FSC-klagomål mail.docx", "A 26447-2025")</f>
        <v/>
      </c>
      <c r="X30">
        <f>HYPERLINK("https://klasma.github.io/Logging_2513/tillsyn/A 26447-2025 tillsynsbegäran.docx", "A 26447-2025")</f>
        <v/>
      </c>
      <c r="Y30">
        <f>HYPERLINK("https://klasma.github.io/Logging_2513/tillsynsmail/A 26447-2025 tillsynsbegäran mail.docx", "A 26447-2025")</f>
        <v/>
      </c>
    </row>
    <row r="31" ht="15" customHeight="1">
      <c r="A31" t="inlineStr">
        <is>
          <t>A 37532-2022</t>
        </is>
      </c>
      <c r="B31" s="1" t="n">
        <v>44809.62597222222</v>
      </c>
      <c r="C31" s="1" t="n">
        <v>45958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Blå taggsvamp</t>
        </is>
      </c>
      <c r="S31">
        <f>HYPERLINK("https://klasma.github.io/Logging_2513/artfynd/A 37532-2022 artfynd.xlsx", "A 37532-2022")</f>
        <v/>
      </c>
      <c r="T31">
        <f>HYPERLINK("https://klasma.github.io/Logging_2513/kartor/A 37532-2022 karta.png", "A 37532-2022")</f>
        <v/>
      </c>
      <c r="V31">
        <f>HYPERLINK("https://klasma.github.io/Logging_2513/klagomål/A 37532-2022 FSC-klagomål.docx", "A 37532-2022")</f>
        <v/>
      </c>
      <c r="W31">
        <f>HYPERLINK("https://klasma.github.io/Logging_2513/klagomålsmail/A 37532-2022 FSC-klagomål mail.docx", "A 37532-2022")</f>
        <v/>
      </c>
      <c r="X31">
        <f>HYPERLINK("https://klasma.github.io/Logging_2513/tillsyn/A 37532-2022 tillsynsbegäran.docx", "A 37532-2022")</f>
        <v/>
      </c>
      <c r="Y31">
        <f>HYPERLINK("https://klasma.github.io/Logging_2513/tillsynsmail/A 37532-2022 tillsynsbegäran mail.docx", "A 37532-2022")</f>
        <v/>
      </c>
    </row>
    <row r="32" ht="15" customHeight="1">
      <c r="A32" t="inlineStr">
        <is>
          <t>A 55419-2024</t>
        </is>
      </c>
      <c r="B32" s="1" t="n">
        <v>45622</v>
      </c>
      <c r="C32" s="1" t="n">
        <v>45958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15.8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HYPERLINK("https://klasma.github.io/Logging_2513/artfynd/A 55419-2024 artfynd.xlsx", "A 55419-2024")</f>
        <v/>
      </c>
      <c r="T32">
        <f>HYPERLINK("https://klasma.github.io/Logging_2513/kartor/A 55419-2024 karta.png", "A 55419-2024")</f>
        <v/>
      </c>
      <c r="V32">
        <f>HYPERLINK("https://klasma.github.io/Logging_2513/klagomål/A 55419-2024 FSC-klagomål.docx", "A 55419-2024")</f>
        <v/>
      </c>
      <c r="W32">
        <f>HYPERLINK("https://klasma.github.io/Logging_2513/klagomålsmail/A 55419-2024 FSC-klagomål mail.docx", "A 55419-2024")</f>
        <v/>
      </c>
      <c r="X32">
        <f>HYPERLINK("https://klasma.github.io/Logging_2513/tillsyn/A 55419-2024 tillsynsbegäran.docx", "A 55419-2024")</f>
        <v/>
      </c>
      <c r="Y32">
        <f>HYPERLINK("https://klasma.github.io/Logging_2513/tillsynsmail/A 55419-2024 tillsynsbegäran mail.docx", "A 55419-2024")</f>
        <v/>
      </c>
    </row>
    <row r="33" ht="15" customHeight="1">
      <c r="A33" t="inlineStr">
        <is>
          <t>A 46782-2025</t>
        </is>
      </c>
      <c r="B33" s="1" t="n">
        <v>45926</v>
      </c>
      <c r="C33" s="1" t="n">
        <v>45958</v>
      </c>
      <c r="D33" t="inlineStr">
        <is>
          <t>NORRBOTTENS LÄN</t>
        </is>
      </c>
      <c r="E33" t="inlineStr">
        <is>
          <t>ÖVERKALIX</t>
        </is>
      </c>
      <c r="G33" t="n">
        <v>2.4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Rosenticka</t>
        </is>
      </c>
      <c r="S33">
        <f>HYPERLINK("https://klasma.github.io/Logging_2513/artfynd/A 46782-2025 artfynd.xlsx", "A 46782-2025")</f>
        <v/>
      </c>
      <c r="T33">
        <f>HYPERLINK("https://klasma.github.io/Logging_2513/kartor/A 46782-2025 karta.png", "A 46782-2025")</f>
        <v/>
      </c>
      <c r="U33">
        <f>HYPERLINK("https://klasma.github.io/Logging_2513/knärot/A 46782-2025 karta knärot.png", "A 46782-2025")</f>
        <v/>
      </c>
      <c r="V33">
        <f>HYPERLINK("https://klasma.github.io/Logging_2513/klagomål/A 46782-2025 FSC-klagomål.docx", "A 46782-2025")</f>
        <v/>
      </c>
      <c r="W33">
        <f>HYPERLINK("https://klasma.github.io/Logging_2513/klagomålsmail/A 46782-2025 FSC-klagomål mail.docx", "A 46782-2025")</f>
        <v/>
      </c>
      <c r="X33">
        <f>HYPERLINK("https://klasma.github.io/Logging_2513/tillsyn/A 46782-2025 tillsynsbegäran.docx", "A 46782-2025")</f>
        <v/>
      </c>
      <c r="Y33">
        <f>HYPERLINK("https://klasma.github.io/Logging_2513/tillsynsmail/A 46782-2025 tillsynsbegäran mail.docx", "A 46782-2025")</f>
        <v/>
      </c>
    </row>
    <row r="34" ht="15" customHeight="1">
      <c r="A34" t="inlineStr">
        <is>
          <t>A 40116-2025</t>
        </is>
      </c>
      <c r="B34" s="1" t="n">
        <v>45894.51512731481</v>
      </c>
      <c r="C34" s="1" t="n">
        <v>45958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29.7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Skrovellav</t>
        </is>
      </c>
      <c r="S34">
        <f>HYPERLINK("https://klasma.github.io/Logging_2513/artfynd/A 40116-2025 artfynd.xlsx", "A 40116-2025")</f>
        <v/>
      </c>
      <c r="T34">
        <f>HYPERLINK("https://klasma.github.io/Logging_2513/kartor/A 40116-2025 karta.png", "A 40116-2025")</f>
        <v/>
      </c>
      <c r="V34">
        <f>HYPERLINK("https://klasma.github.io/Logging_2513/klagomål/A 40116-2025 FSC-klagomål.docx", "A 40116-2025")</f>
        <v/>
      </c>
      <c r="W34">
        <f>HYPERLINK("https://klasma.github.io/Logging_2513/klagomålsmail/A 40116-2025 FSC-klagomål mail.docx", "A 40116-2025")</f>
        <v/>
      </c>
      <c r="X34">
        <f>HYPERLINK("https://klasma.github.io/Logging_2513/tillsyn/A 40116-2025 tillsynsbegäran.docx", "A 40116-2025")</f>
        <v/>
      </c>
      <c r="Y34">
        <f>HYPERLINK("https://klasma.github.io/Logging_2513/tillsynsmail/A 40116-2025 tillsynsbegäran mail.docx", "A 40116-2025")</f>
        <v/>
      </c>
    </row>
    <row r="35" ht="15" customHeight="1">
      <c r="A35" t="inlineStr">
        <is>
          <t>A 30532-2025</t>
        </is>
      </c>
      <c r="B35" s="1" t="n">
        <v>45831.36143518519</v>
      </c>
      <c r="C35" s="1" t="n">
        <v>45958</v>
      </c>
      <c r="D35" t="inlineStr">
        <is>
          <t>NORRBOTTENS LÄN</t>
        </is>
      </c>
      <c r="E35" t="inlineStr">
        <is>
          <t>ÖVERKALIX</t>
        </is>
      </c>
      <c r="F35" t="inlineStr">
        <is>
          <t>Sveaskog</t>
        </is>
      </c>
      <c r="G35" t="n">
        <v>6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HYPERLINK("https://klasma.github.io/Logging_2513/artfynd/A 30532-2025 artfynd.xlsx", "A 30532-2025")</f>
        <v/>
      </c>
      <c r="T35">
        <f>HYPERLINK("https://klasma.github.io/Logging_2513/kartor/A 30532-2025 karta.png", "A 30532-2025")</f>
        <v/>
      </c>
      <c r="V35">
        <f>HYPERLINK("https://klasma.github.io/Logging_2513/klagomål/A 30532-2025 FSC-klagomål.docx", "A 30532-2025")</f>
        <v/>
      </c>
      <c r="W35">
        <f>HYPERLINK("https://klasma.github.io/Logging_2513/klagomålsmail/A 30532-2025 FSC-klagomål mail.docx", "A 30532-2025")</f>
        <v/>
      </c>
      <c r="X35">
        <f>HYPERLINK("https://klasma.github.io/Logging_2513/tillsyn/A 30532-2025 tillsynsbegäran.docx", "A 30532-2025")</f>
        <v/>
      </c>
      <c r="Y35">
        <f>HYPERLINK("https://klasma.github.io/Logging_2513/tillsynsmail/A 30532-2025 tillsynsbegäran mail.docx", "A 30532-2025")</f>
        <v/>
      </c>
    </row>
    <row r="36" ht="15" customHeight="1">
      <c r="A36" t="inlineStr">
        <is>
          <t>A 32277-2025</t>
        </is>
      </c>
      <c r="B36" s="1" t="n">
        <v>45835.66175925926</v>
      </c>
      <c r="C36" s="1" t="n">
        <v>45958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9.699999999999999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HYPERLINK("https://klasma.github.io/Logging_2513/artfynd/A 32277-2025 artfynd.xlsx", "A 32277-2025")</f>
        <v/>
      </c>
      <c r="T36">
        <f>HYPERLINK("https://klasma.github.io/Logging_2513/kartor/A 32277-2025 karta.png", "A 32277-2025")</f>
        <v/>
      </c>
      <c r="V36">
        <f>HYPERLINK("https://klasma.github.io/Logging_2513/klagomål/A 32277-2025 FSC-klagomål.docx", "A 32277-2025")</f>
        <v/>
      </c>
      <c r="W36">
        <f>HYPERLINK("https://klasma.github.io/Logging_2513/klagomålsmail/A 32277-2025 FSC-klagomål mail.docx", "A 32277-2025")</f>
        <v/>
      </c>
      <c r="X36">
        <f>HYPERLINK("https://klasma.github.io/Logging_2513/tillsyn/A 32277-2025 tillsynsbegäran.docx", "A 32277-2025")</f>
        <v/>
      </c>
      <c r="Y36">
        <f>HYPERLINK("https://klasma.github.io/Logging_2513/tillsynsmail/A 32277-2025 tillsynsbegäran mail.docx", "A 32277-2025")</f>
        <v/>
      </c>
    </row>
    <row r="37" ht="15" customHeight="1">
      <c r="A37" t="inlineStr">
        <is>
          <t>A 32407-2025</t>
        </is>
      </c>
      <c r="B37" s="1" t="n">
        <v>45838</v>
      </c>
      <c r="C37" s="1" t="n">
        <v>45958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10.6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HYPERLINK("https://klasma.github.io/Logging_2513/artfynd/A 32407-2025 artfynd.xlsx", "A 32407-2025")</f>
        <v/>
      </c>
      <c r="T37">
        <f>HYPERLINK("https://klasma.github.io/Logging_2513/kartor/A 32407-2025 karta.png", "A 32407-2025")</f>
        <v/>
      </c>
      <c r="U37">
        <f>HYPERLINK("https://klasma.github.io/Logging_2513/knärot/A 32407-2025 karta knärot.png", "A 32407-2025")</f>
        <v/>
      </c>
      <c r="V37">
        <f>HYPERLINK("https://klasma.github.io/Logging_2513/klagomål/A 32407-2025 FSC-klagomål.docx", "A 32407-2025")</f>
        <v/>
      </c>
      <c r="W37">
        <f>HYPERLINK("https://klasma.github.io/Logging_2513/klagomålsmail/A 32407-2025 FSC-klagomål mail.docx", "A 32407-2025")</f>
        <v/>
      </c>
      <c r="X37">
        <f>HYPERLINK("https://klasma.github.io/Logging_2513/tillsyn/A 32407-2025 tillsynsbegäran.docx", "A 32407-2025")</f>
        <v/>
      </c>
      <c r="Y37">
        <f>HYPERLINK("https://klasma.github.io/Logging_2513/tillsynsmail/A 32407-2025 tillsynsbegäran mail.docx", "A 32407-2025")</f>
        <v/>
      </c>
    </row>
    <row r="38" ht="15" customHeight="1">
      <c r="A38" t="inlineStr">
        <is>
          <t>A 42285-2025</t>
        </is>
      </c>
      <c r="B38" s="1" t="n">
        <v>45904.6202662037</v>
      </c>
      <c r="C38" s="1" t="n">
        <v>45958</v>
      </c>
      <c r="D38" t="inlineStr">
        <is>
          <t>NORRBOTTENS LÄN</t>
        </is>
      </c>
      <c r="E38" t="inlineStr">
        <is>
          <t>ÖVERKALIX</t>
        </is>
      </c>
      <c r="G38" t="n">
        <v>0.3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Vanlig padda</t>
        </is>
      </c>
      <c r="S38">
        <f>HYPERLINK("https://klasma.github.io/Logging_2513/artfynd/A 42285-2025 artfynd.xlsx", "A 42285-2025")</f>
        <v/>
      </c>
      <c r="T38">
        <f>HYPERLINK("https://klasma.github.io/Logging_2513/kartor/A 42285-2025 karta.png", "A 42285-2025")</f>
        <v/>
      </c>
      <c r="V38">
        <f>HYPERLINK("https://klasma.github.io/Logging_2513/klagomål/A 42285-2025 FSC-klagomål.docx", "A 42285-2025")</f>
        <v/>
      </c>
      <c r="W38">
        <f>HYPERLINK("https://klasma.github.io/Logging_2513/klagomålsmail/A 42285-2025 FSC-klagomål mail.docx", "A 42285-2025")</f>
        <v/>
      </c>
      <c r="X38">
        <f>HYPERLINK("https://klasma.github.io/Logging_2513/tillsyn/A 42285-2025 tillsynsbegäran.docx", "A 42285-2025")</f>
        <v/>
      </c>
      <c r="Y38">
        <f>HYPERLINK("https://klasma.github.io/Logging_2513/tillsynsmail/A 42285-2025 tillsynsbegäran mail.docx", "A 42285-2025")</f>
        <v/>
      </c>
    </row>
    <row r="39" ht="15" customHeight="1">
      <c r="A39" t="inlineStr">
        <is>
          <t>A 34921-2025</t>
        </is>
      </c>
      <c r="B39" s="1" t="n">
        <v>45849.55521990741</v>
      </c>
      <c r="C39" s="1" t="n">
        <v>45958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16.4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HYPERLINK("https://klasma.github.io/Logging_2513/artfynd/A 34921-2025 artfynd.xlsx", "A 34921-2025")</f>
        <v/>
      </c>
      <c r="T39">
        <f>HYPERLINK("https://klasma.github.io/Logging_2513/kartor/A 34921-2025 karta.png", "A 34921-2025")</f>
        <v/>
      </c>
      <c r="V39">
        <f>HYPERLINK("https://klasma.github.io/Logging_2513/klagomål/A 34921-2025 FSC-klagomål.docx", "A 34921-2025")</f>
        <v/>
      </c>
      <c r="W39">
        <f>HYPERLINK("https://klasma.github.io/Logging_2513/klagomålsmail/A 34921-2025 FSC-klagomål mail.docx", "A 34921-2025")</f>
        <v/>
      </c>
      <c r="X39">
        <f>HYPERLINK("https://klasma.github.io/Logging_2513/tillsyn/A 34921-2025 tillsynsbegäran.docx", "A 34921-2025")</f>
        <v/>
      </c>
      <c r="Y39">
        <f>HYPERLINK("https://klasma.github.io/Logging_2513/tillsynsmail/A 34921-2025 tillsynsbegäran mail.docx", "A 34921-2025")</f>
        <v/>
      </c>
    </row>
    <row r="40" ht="15" customHeight="1">
      <c r="A40" t="inlineStr">
        <is>
          <t>A 43046-2025</t>
        </is>
      </c>
      <c r="B40" s="1" t="n">
        <v>45909.56116898148</v>
      </c>
      <c r="C40" s="1" t="n">
        <v>45958</v>
      </c>
      <c r="D40" t="inlineStr">
        <is>
          <t>NORRBOTTENS LÄN</t>
        </is>
      </c>
      <c r="E40" t="inlineStr">
        <is>
          <t>ÖVERKALIX</t>
        </is>
      </c>
      <c r="G40" t="n">
        <v>4.4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Skrovlig taggsvamp</t>
        </is>
      </c>
      <c r="S40">
        <f>HYPERLINK("https://klasma.github.io/Logging_2513/artfynd/A 43046-2025 artfynd.xlsx", "A 43046-2025")</f>
        <v/>
      </c>
      <c r="T40">
        <f>HYPERLINK("https://klasma.github.io/Logging_2513/kartor/A 43046-2025 karta.png", "A 43046-2025")</f>
        <v/>
      </c>
      <c r="V40">
        <f>HYPERLINK("https://klasma.github.io/Logging_2513/klagomål/A 43046-2025 FSC-klagomål.docx", "A 43046-2025")</f>
        <v/>
      </c>
      <c r="W40">
        <f>HYPERLINK("https://klasma.github.io/Logging_2513/klagomålsmail/A 43046-2025 FSC-klagomål mail.docx", "A 43046-2025")</f>
        <v/>
      </c>
      <c r="X40">
        <f>HYPERLINK("https://klasma.github.io/Logging_2513/tillsyn/A 43046-2025 tillsynsbegäran.docx", "A 43046-2025")</f>
        <v/>
      </c>
      <c r="Y40">
        <f>HYPERLINK("https://klasma.github.io/Logging_2513/tillsynsmail/A 43046-2025 tillsynsbegäran mail.docx", "A 43046-2025")</f>
        <v/>
      </c>
    </row>
    <row r="41" ht="15" customHeight="1">
      <c r="A41" t="inlineStr">
        <is>
          <t>A 37309-2024</t>
        </is>
      </c>
      <c r="B41" s="1" t="n">
        <v>45540</v>
      </c>
      <c r="C41" s="1" t="n">
        <v>45958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10.4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HYPERLINK("https://klasma.github.io/Logging_2513/artfynd/A 37309-2024 artfynd.xlsx", "A 37309-2024")</f>
        <v/>
      </c>
      <c r="T41">
        <f>HYPERLINK("https://klasma.github.io/Logging_2513/kartor/A 37309-2024 karta.png", "A 37309-2024")</f>
        <v/>
      </c>
      <c r="U41">
        <f>HYPERLINK("https://klasma.github.io/Logging_2513/knärot/A 37309-2024 karta knärot.png", "A 37309-2024")</f>
        <v/>
      </c>
      <c r="V41">
        <f>HYPERLINK("https://klasma.github.io/Logging_2513/klagomål/A 37309-2024 FSC-klagomål.docx", "A 37309-2024")</f>
        <v/>
      </c>
      <c r="W41">
        <f>HYPERLINK("https://klasma.github.io/Logging_2513/klagomålsmail/A 37309-2024 FSC-klagomål mail.docx", "A 37309-2024")</f>
        <v/>
      </c>
      <c r="X41">
        <f>HYPERLINK("https://klasma.github.io/Logging_2513/tillsyn/A 37309-2024 tillsynsbegäran.docx", "A 37309-2024")</f>
        <v/>
      </c>
      <c r="Y41">
        <f>HYPERLINK("https://klasma.github.io/Logging_2513/tillsynsmail/A 37309-2024 tillsynsbegäran mail.docx", "A 37309-2024")</f>
        <v/>
      </c>
    </row>
    <row r="42" ht="15" customHeight="1">
      <c r="A42" t="inlineStr">
        <is>
          <t>A 35602-2025</t>
        </is>
      </c>
      <c r="B42" s="1" t="n">
        <v>45859.30603009259</v>
      </c>
      <c r="C42" s="1" t="n">
        <v>45958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2.9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Fläcknycklar</t>
        </is>
      </c>
      <c r="S42">
        <f>HYPERLINK("https://klasma.github.io/Logging_2513/artfynd/A 35602-2025 artfynd.xlsx", "A 35602-2025")</f>
        <v/>
      </c>
      <c r="T42">
        <f>HYPERLINK("https://klasma.github.io/Logging_2513/kartor/A 35602-2025 karta.png", "A 35602-2025")</f>
        <v/>
      </c>
      <c r="V42">
        <f>HYPERLINK("https://klasma.github.io/Logging_2513/klagomål/A 35602-2025 FSC-klagomål.docx", "A 35602-2025")</f>
        <v/>
      </c>
      <c r="W42">
        <f>HYPERLINK("https://klasma.github.io/Logging_2513/klagomålsmail/A 35602-2025 FSC-klagomål mail.docx", "A 35602-2025")</f>
        <v/>
      </c>
      <c r="X42">
        <f>HYPERLINK("https://klasma.github.io/Logging_2513/tillsyn/A 35602-2025 tillsynsbegäran.docx", "A 35602-2025")</f>
        <v/>
      </c>
      <c r="Y42">
        <f>HYPERLINK("https://klasma.github.io/Logging_2513/tillsynsmail/A 35602-2025 tillsynsbegäran mail.docx", "A 35602-2025")</f>
        <v/>
      </c>
    </row>
    <row r="43" ht="15" customHeight="1">
      <c r="A43" t="inlineStr">
        <is>
          <t>A 46280-2024</t>
        </is>
      </c>
      <c r="B43" s="1" t="n">
        <v>45581</v>
      </c>
      <c r="C43" s="1" t="n">
        <v>45958</v>
      </c>
      <c r="D43" t="inlineStr">
        <is>
          <t>NORRBOTTENS LÄN</t>
        </is>
      </c>
      <c r="E43" t="inlineStr">
        <is>
          <t>ÖVERKALIX</t>
        </is>
      </c>
      <c r="F43" t="inlineStr">
        <is>
          <t>SCA</t>
        </is>
      </c>
      <c r="G43" t="n">
        <v>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HYPERLINK("https://klasma.github.io/Logging_2513/artfynd/A 46280-2024 artfynd.xlsx", "A 46280-2024")</f>
        <v/>
      </c>
      <c r="T43">
        <f>HYPERLINK("https://klasma.github.io/Logging_2513/kartor/A 46280-2024 karta.png", "A 46280-2024")</f>
        <v/>
      </c>
      <c r="V43">
        <f>HYPERLINK("https://klasma.github.io/Logging_2513/klagomål/A 46280-2024 FSC-klagomål.docx", "A 46280-2024")</f>
        <v/>
      </c>
      <c r="W43">
        <f>HYPERLINK("https://klasma.github.io/Logging_2513/klagomålsmail/A 46280-2024 FSC-klagomål mail.docx", "A 46280-2024")</f>
        <v/>
      </c>
      <c r="X43">
        <f>HYPERLINK("https://klasma.github.io/Logging_2513/tillsyn/A 46280-2024 tillsynsbegäran.docx", "A 46280-2024")</f>
        <v/>
      </c>
      <c r="Y43">
        <f>HYPERLINK("https://klasma.github.io/Logging_2513/tillsynsmail/A 46280-2024 tillsynsbegäran mail.docx", "A 46280-2024")</f>
        <v/>
      </c>
      <c r="Z43">
        <f>HYPERLINK("https://klasma.github.io/Logging_2513/fåglar/A 46280-2024 prioriterade fågelarter.docx", "A 46280-2024")</f>
        <v/>
      </c>
    </row>
    <row r="44" ht="15" customHeight="1">
      <c r="A44" t="inlineStr">
        <is>
          <t>A 46281-2024</t>
        </is>
      </c>
      <c r="B44" s="1" t="n">
        <v>45581</v>
      </c>
      <c r="C44" s="1" t="n">
        <v>45958</v>
      </c>
      <c r="D44" t="inlineStr">
        <is>
          <t>NORRBOTTENS LÄN</t>
        </is>
      </c>
      <c r="E44" t="inlineStr">
        <is>
          <t>ÖVERKALIX</t>
        </is>
      </c>
      <c r="F44" t="inlineStr">
        <is>
          <t>SCA</t>
        </is>
      </c>
      <c r="G44" t="n">
        <v>1.2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Blå taggsvamp</t>
        </is>
      </c>
      <c r="S44">
        <f>HYPERLINK("https://klasma.github.io/Logging_2513/artfynd/A 46281-2024 artfynd.xlsx", "A 46281-2024")</f>
        <v/>
      </c>
      <c r="T44">
        <f>HYPERLINK("https://klasma.github.io/Logging_2513/kartor/A 46281-2024 karta.png", "A 46281-2024")</f>
        <v/>
      </c>
      <c r="V44">
        <f>HYPERLINK("https://klasma.github.io/Logging_2513/klagomål/A 46281-2024 FSC-klagomål.docx", "A 46281-2024")</f>
        <v/>
      </c>
      <c r="W44">
        <f>HYPERLINK("https://klasma.github.io/Logging_2513/klagomålsmail/A 46281-2024 FSC-klagomål mail.docx", "A 46281-2024")</f>
        <v/>
      </c>
      <c r="X44">
        <f>HYPERLINK("https://klasma.github.io/Logging_2513/tillsyn/A 46281-2024 tillsynsbegäran.docx", "A 46281-2024")</f>
        <v/>
      </c>
      <c r="Y44">
        <f>HYPERLINK("https://klasma.github.io/Logging_2513/tillsynsmail/A 46281-2024 tillsynsbegäran mail.docx", "A 46281-2024")</f>
        <v/>
      </c>
    </row>
    <row r="45" ht="15" customHeight="1">
      <c r="A45" t="inlineStr">
        <is>
          <t>A 7477-2023</t>
        </is>
      </c>
      <c r="B45" s="1" t="n">
        <v>44966</v>
      </c>
      <c r="C45" s="1" t="n">
        <v>45958</v>
      </c>
      <c r="D45" t="inlineStr">
        <is>
          <t>NORRBOTTENS LÄN</t>
        </is>
      </c>
      <c r="E45" t="inlineStr">
        <is>
          <t>ÖVERKALIX</t>
        </is>
      </c>
      <c r="G45" t="n">
        <v>2.6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Skarp dropptaggsvamp</t>
        </is>
      </c>
      <c r="S45">
        <f>HYPERLINK("https://klasma.github.io/Logging_2513/artfynd/A 7477-2023 artfynd.xlsx", "A 7477-2023")</f>
        <v/>
      </c>
      <c r="T45">
        <f>HYPERLINK("https://klasma.github.io/Logging_2513/kartor/A 7477-2023 karta.png", "A 7477-2023")</f>
        <v/>
      </c>
      <c r="V45">
        <f>HYPERLINK("https://klasma.github.io/Logging_2513/klagomål/A 7477-2023 FSC-klagomål.docx", "A 7477-2023")</f>
        <v/>
      </c>
      <c r="W45">
        <f>HYPERLINK("https://klasma.github.io/Logging_2513/klagomålsmail/A 7477-2023 FSC-klagomål mail.docx", "A 7477-2023")</f>
        <v/>
      </c>
      <c r="X45">
        <f>HYPERLINK("https://klasma.github.io/Logging_2513/tillsyn/A 7477-2023 tillsynsbegäran.docx", "A 7477-2023")</f>
        <v/>
      </c>
      <c r="Y45">
        <f>HYPERLINK("https://klasma.github.io/Logging_2513/tillsynsmail/A 7477-2023 tillsynsbegäran mail.docx", "A 7477-2023")</f>
        <v/>
      </c>
    </row>
    <row r="46" ht="15" customHeight="1">
      <c r="A46" t="inlineStr">
        <is>
          <t>A 37314-2024</t>
        </is>
      </c>
      <c r="B46" s="1" t="n">
        <v>45540</v>
      </c>
      <c r="C46" s="1" t="n">
        <v>45958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HYPERLINK("https://klasma.github.io/Logging_2513/artfynd/A 37314-2024 artfynd.xlsx", "A 37314-2024")</f>
        <v/>
      </c>
      <c r="T46">
        <f>HYPERLINK("https://klasma.github.io/Logging_2513/kartor/A 37314-2024 karta.png", "A 37314-2024")</f>
        <v/>
      </c>
      <c r="V46">
        <f>HYPERLINK("https://klasma.github.io/Logging_2513/klagomål/A 37314-2024 FSC-klagomål.docx", "A 37314-2024")</f>
        <v/>
      </c>
      <c r="W46">
        <f>HYPERLINK("https://klasma.github.io/Logging_2513/klagomålsmail/A 37314-2024 FSC-klagomål mail.docx", "A 37314-2024")</f>
        <v/>
      </c>
      <c r="X46">
        <f>HYPERLINK("https://klasma.github.io/Logging_2513/tillsyn/A 37314-2024 tillsynsbegäran.docx", "A 37314-2024")</f>
        <v/>
      </c>
      <c r="Y46">
        <f>HYPERLINK("https://klasma.github.io/Logging_2513/tillsynsmail/A 37314-2024 tillsynsbegäran mail.docx", "A 37314-2024")</f>
        <v/>
      </c>
    </row>
    <row r="47" ht="15" customHeight="1">
      <c r="A47" t="inlineStr">
        <is>
          <t>A 41171-2023</t>
        </is>
      </c>
      <c r="B47" s="1" t="n">
        <v>45174</v>
      </c>
      <c r="C47" s="1" t="n">
        <v>45958</v>
      </c>
      <c r="D47" t="inlineStr">
        <is>
          <t>NORRBOTTENS LÄN</t>
        </is>
      </c>
      <c r="E47" t="inlineStr">
        <is>
          <t>ÖVERKALIX</t>
        </is>
      </c>
      <c r="F47" t="inlineStr">
        <is>
          <t>Sveaskog</t>
        </is>
      </c>
      <c r="G47" t="n">
        <v>17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HYPERLINK("https://klasma.github.io/Logging_2513/artfynd/A 41171-2023 artfynd.xlsx", "A 41171-2023")</f>
        <v/>
      </c>
      <c r="T47">
        <f>HYPERLINK("https://klasma.github.io/Logging_2513/kartor/A 41171-2023 karta.png", "A 41171-2023")</f>
        <v/>
      </c>
      <c r="V47">
        <f>HYPERLINK("https://klasma.github.io/Logging_2513/klagomål/A 41171-2023 FSC-klagomål.docx", "A 41171-2023")</f>
        <v/>
      </c>
      <c r="W47">
        <f>HYPERLINK("https://klasma.github.io/Logging_2513/klagomålsmail/A 41171-2023 FSC-klagomål mail.docx", "A 41171-2023")</f>
        <v/>
      </c>
      <c r="X47">
        <f>HYPERLINK("https://klasma.github.io/Logging_2513/tillsyn/A 41171-2023 tillsynsbegäran.docx", "A 41171-2023")</f>
        <v/>
      </c>
      <c r="Y47">
        <f>HYPERLINK("https://klasma.github.io/Logging_2513/tillsynsmail/A 41171-2023 tillsynsbegäran mail.docx", "A 41171-2023")</f>
        <v/>
      </c>
    </row>
    <row r="48" ht="15" customHeight="1">
      <c r="A48" t="inlineStr">
        <is>
          <t>A 33834-2024</t>
        </is>
      </c>
      <c r="B48" s="1" t="n">
        <v>45520</v>
      </c>
      <c r="C48" s="1" t="n">
        <v>45958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8.300000000000001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Dropptaggsvamp</t>
        </is>
      </c>
      <c r="S48">
        <f>HYPERLINK("https://klasma.github.io/Logging_2513/artfynd/A 33834-2024 artfynd.xlsx", "A 33834-2024")</f>
        <v/>
      </c>
      <c r="T48">
        <f>HYPERLINK("https://klasma.github.io/Logging_2513/kartor/A 33834-2024 karta.png", "A 33834-2024")</f>
        <v/>
      </c>
      <c r="V48">
        <f>HYPERLINK("https://klasma.github.io/Logging_2513/klagomål/A 33834-2024 FSC-klagomål.docx", "A 33834-2024")</f>
        <v/>
      </c>
      <c r="W48">
        <f>HYPERLINK("https://klasma.github.io/Logging_2513/klagomålsmail/A 33834-2024 FSC-klagomål mail.docx", "A 33834-2024")</f>
        <v/>
      </c>
      <c r="X48">
        <f>HYPERLINK("https://klasma.github.io/Logging_2513/tillsyn/A 33834-2024 tillsynsbegäran.docx", "A 33834-2024")</f>
        <v/>
      </c>
      <c r="Y48">
        <f>HYPERLINK("https://klasma.github.io/Logging_2513/tillsynsmail/A 33834-2024 tillsynsbegäran mail.docx", "A 33834-2024")</f>
        <v/>
      </c>
    </row>
    <row r="49" ht="15" customHeight="1">
      <c r="A49" t="inlineStr">
        <is>
          <t>A 23157-2024</t>
        </is>
      </c>
      <c r="B49" s="1" t="n">
        <v>45450</v>
      </c>
      <c r="C49" s="1" t="n">
        <v>45958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5.9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Bollvitmossa</t>
        </is>
      </c>
      <c r="S49">
        <f>HYPERLINK("https://klasma.github.io/Logging_2513/artfynd/A 23157-2024 artfynd.xlsx", "A 23157-2024")</f>
        <v/>
      </c>
      <c r="T49">
        <f>HYPERLINK("https://klasma.github.io/Logging_2513/kartor/A 23157-2024 karta.png", "A 23157-2024")</f>
        <v/>
      </c>
      <c r="V49">
        <f>HYPERLINK("https://klasma.github.io/Logging_2513/klagomål/A 23157-2024 FSC-klagomål.docx", "A 23157-2024")</f>
        <v/>
      </c>
      <c r="W49">
        <f>HYPERLINK("https://klasma.github.io/Logging_2513/klagomålsmail/A 23157-2024 FSC-klagomål mail.docx", "A 23157-2024")</f>
        <v/>
      </c>
      <c r="X49">
        <f>HYPERLINK("https://klasma.github.io/Logging_2513/tillsyn/A 23157-2024 tillsynsbegäran.docx", "A 23157-2024")</f>
        <v/>
      </c>
      <c r="Y49">
        <f>HYPERLINK("https://klasma.github.io/Logging_2513/tillsynsmail/A 23157-2024 tillsynsbegäran mail.docx", "A 23157-2024")</f>
        <v/>
      </c>
    </row>
    <row r="50" ht="15" customHeight="1">
      <c r="A50" t="inlineStr">
        <is>
          <t>A 28364-2021</t>
        </is>
      </c>
      <c r="B50" s="1" t="n">
        <v>44356</v>
      </c>
      <c r="C50" s="1" t="n">
        <v>45958</v>
      </c>
      <c r="D50" t="inlineStr">
        <is>
          <t>NORRBOTTENS LÄN</t>
        </is>
      </c>
      <c r="E50" t="inlineStr">
        <is>
          <t>ÖVERKALIX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3174-2022</t>
        </is>
      </c>
      <c r="B51" s="1" t="n">
        <v>44582</v>
      </c>
      <c r="C51" s="1" t="n">
        <v>45958</v>
      </c>
      <c r="D51" t="inlineStr">
        <is>
          <t>NORRBOTTENS LÄN</t>
        </is>
      </c>
      <c r="E51" t="inlineStr">
        <is>
          <t>ÖVERKALIX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73348-2021</t>
        </is>
      </c>
      <c r="B52" s="1" t="n">
        <v>44550</v>
      </c>
      <c r="C52" s="1" t="n">
        <v>45958</v>
      </c>
      <c r="D52" t="inlineStr">
        <is>
          <t>NORRBOTTENS LÄN</t>
        </is>
      </c>
      <c r="E52" t="inlineStr">
        <is>
          <t>ÖVERKALIX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44830-2021</t>
        </is>
      </c>
      <c r="B53" s="1" t="n">
        <v>44438</v>
      </c>
      <c r="C53" s="1" t="n">
        <v>45958</v>
      </c>
      <c r="D53" t="inlineStr">
        <is>
          <t>NORRBOTTENS LÄN</t>
        </is>
      </c>
      <c r="E53" t="inlineStr">
        <is>
          <t>ÖVERKALIX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22988-2022</t>
        </is>
      </c>
      <c r="B54" s="1" t="n">
        <v>44718</v>
      </c>
      <c r="C54" s="1" t="n">
        <v>45958</v>
      </c>
      <c r="D54" t="inlineStr">
        <is>
          <t>NORRBOTTENS LÄN</t>
        </is>
      </c>
      <c r="E54" t="inlineStr">
        <is>
          <t>ÖVERKALIX</t>
        </is>
      </c>
      <c r="G54" t="n">
        <v>13.2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35845-2021</t>
        </is>
      </c>
      <c r="B55" s="1" t="n">
        <v>44386.91877314815</v>
      </c>
      <c r="C55" s="1" t="n">
        <v>45958</v>
      </c>
      <c r="D55" t="inlineStr">
        <is>
          <t>NORRBOTTENS LÄN</t>
        </is>
      </c>
      <c r="E55" t="inlineStr">
        <is>
          <t>ÖVERKALIX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8224-2021</t>
        </is>
      </c>
      <c r="B56" s="1" t="n">
        <v>44244</v>
      </c>
      <c r="C56" s="1" t="n">
        <v>45958</v>
      </c>
      <c r="D56" t="inlineStr">
        <is>
          <t>NORRBOTTENS LÄN</t>
        </is>
      </c>
      <c r="E56" t="inlineStr">
        <is>
          <t>ÖVERKALIX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73757-2021</t>
        </is>
      </c>
      <c r="B57" s="1" t="n">
        <v>44551</v>
      </c>
      <c r="C57" s="1" t="n">
        <v>45958</v>
      </c>
      <c r="D57" t="inlineStr">
        <is>
          <t>NORRBOTTENS LÄN</t>
        </is>
      </c>
      <c r="E57" t="inlineStr">
        <is>
          <t>ÖVERKALIX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32521-2021</t>
        </is>
      </c>
      <c r="B58" s="1" t="n">
        <v>44374</v>
      </c>
      <c r="C58" s="1" t="n">
        <v>45958</v>
      </c>
      <c r="D58" t="inlineStr">
        <is>
          <t>NORRBOTTENS LÄN</t>
        </is>
      </c>
      <c r="E58" t="inlineStr">
        <is>
          <t>ÖVERKALIX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23073-2021</t>
        </is>
      </c>
      <c r="B59" s="1" t="n">
        <v>44330.35358796296</v>
      </c>
      <c r="C59" s="1" t="n">
        <v>45958</v>
      </c>
      <c r="D59" t="inlineStr">
        <is>
          <t>NORRBOTTENS LÄN</t>
        </is>
      </c>
      <c r="E59" t="inlineStr">
        <is>
          <t>ÖVERKALIX</t>
        </is>
      </c>
      <c r="G59" t="n">
        <v>16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67584-2020</t>
        </is>
      </c>
      <c r="B60" s="1" t="n">
        <v>44181</v>
      </c>
      <c r="C60" s="1" t="n">
        <v>45958</v>
      </c>
      <c r="D60" t="inlineStr">
        <is>
          <t>NORRBOTTENS LÄN</t>
        </is>
      </c>
      <c r="E60" t="inlineStr">
        <is>
          <t>ÖVERKALIX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21847-2022</t>
        </is>
      </c>
      <c r="B61" s="1" t="n">
        <v>44711</v>
      </c>
      <c r="C61" s="1" t="n">
        <v>45958</v>
      </c>
      <c r="D61" t="inlineStr">
        <is>
          <t>NORRBOTTENS LÄN</t>
        </is>
      </c>
      <c r="E61" t="inlineStr">
        <is>
          <t>ÖVERKALIX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22976-2022</t>
        </is>
      </c>
      <c r="B62" s="1" t="n">
        <v>44717</v>
      </c>
      <c r="C62" s="1" t="n">
        <v>45958</v>
      </c>
      <c r="D62" t="inlineStr">
        <is>
          <t>NORRBOTTENS LÄN</t>
        </is>
      </c>
      <c r="E62" t="inlineStr">
        <is>
          <t>ÖVERKALIX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29706-2022</t>
        </is>
      </c>
      <c r="B63" s="1" t="n">
        <v>44755.41444444445</v>
      </c>
      <c r="C63" s="1" t="n">
        <v>45958</v>
      </c>
      <c r="D63" t="inlineStr">
        <is>
          <t>NORRBOTTENS LÄN</t>
        </is>
      </c>
      <c r="E63" t="inlineStr">
        <is>
          <t>ÖVERKALIX</t>
        </is>
      </c>
      <c r="F63" t="inlineStr">
        <is>
          <t>Sveaskog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HYPERLINK("https://klasma.github.io/Logging_2513/knärot/A 29706-2022 karta knärot.png", "A 29706-2022")</f>
        <v/>
      </c>
      <c r="V63">
        <f>HYPERLINK("https://klasma.github.io/Logging_2513/klagomål/A 29706-2022 FSC-klagomål.docx", "A 29706-2022")</f>
        <v/>
      </c>
      <c r="W63">
        <f>HYPERLINK("https://klasma.github.io/Logging_2513/klagomålsmail/A 29706-2022 FSC-klagomål mail.docx", "A 29706-2022")</f>
        <v/>
      </c>
      <c r="X63">
        <f>HYPERLINK("https://klasma.github.io/Logging_2513/tillsyn/A 29706-2022 tillsynsbegäran.docx", "A 29706-2022")</f>
        <v/>
      </c>
      <c r="Y63">
        <f>HYPERLINK("https://klasma.github.io/Logging_2513/tillsynsmail/A 29706-2022 tillsynsbegäran mail.docx", "A 29706-2022")</f>
        <v/>
      </c>
    </row>
    <row r="64" ht="15" customHeight="1">
      <c r="A64" t="inlineStr">
        <is>
          <t>A 6907-2022</t>
        </is>
      </c>
      <c r="B64" s="1" t="n">
        <v>44602.92184027778</v>
      </c>
      <c r="C64" s="1" t="n">
        <v>45958</v>
      </c>
      <c r="D64" t="inlineStr">
        <is>
          <t>NORRBOTTENS LÄN</t>
        </is>
      </c>
      <c r="E64" t="inlineStr">
        <is>
          <t>ÖVERKALIX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1481-2021</t>
        </is>
      </c>
      <c r="B65" s="1" t="n">
        <v>44208</v>
      </c>
      <c r="C65" s="1" t="n">
        <v>45958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47629-2021</t>
        </is>
      </c>
      <c r="B66" s="1" t="n">
        <v>44448</v>
      </c>
      <c r="C66" s="1" t="n">
        <v>45958</v>
      </c>
      <c r="D66" t="inlineStr">
        <is>
          <t>NORRBOTTENS LÄN</t>
        </is>
      </c>
      <c r="E66" t="inlineStr">
        <is>
          <t>ÖVERKALIX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41691-2021</t>
        </is>
      </c>
      <c r="B67" s="1" t="n">
        <v>44424</v>
      </c>
      <c r="C67" s="1" t="n">
        <v>45958</v>
      </c>
      <c r="D67" t="inlineStr">
        <is>
          <t>NORRBOTTENS LÄN</t>
        </is>
      </c>
      <c r="E67" t="inlineStr">
        <is>
          <t>ÖVERKALIX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49843-2022</t>
        </is>
      </c>
      <c r="B68" s="1" t="n">
        <v>44862</v>
      </c>
      <c r="C68" s="1" t="n">
        <v>45958</v>
      </c>
      <c r="D68" t="inlineStr">
        <is>
          <t>NORRBOTTENS LÄN</t>
        </is>
      </c>
      <c r="E68" t="inlineStr">
        <is>
          <t>ÖVERKALIX</t>
        </is>
      </c>
      <c r="G68" t="n">
        <v>9.699999999999999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52713-2021</t>
        </is>
      </c>
      <c r="B69" s="1" t="n">
        <v>44466.93474537037</v>
      </c>
      <c r="C69" s="1" t="n">
        <v>45958</v>
      </c>
      <c r="D69" t="inlineStr">
        <is>
          <t>NORRBOTTENS LÄN</t>
        </is>
      </c>
      <c r="E69" t="inlineStr">
        <is>
          <t>ÖVERKALIX</t>
        </is>
      </c>
      <c r="F69" t="inlineStr">
        <is>
          <t>SCA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15133-2022</t>
        </is>
      </c>
      <c r="B70" s="1" t="n">
        <v>44658</v>
      </c>
      <c r="C70" s="1" t="n">
        <v>45958</v>
      </c>
      <c r="D70" t="inlineStr">
        <is>
          <t>NORRBOTTENS LÄN</t>
        </is>
      </c>
      <c r="E70" t="inlineStr">
        <is>
          <t>ÖVERKALIX</t>
        </is>
      </c>
      <c r="G70" t="n">
        <v>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44370-2021</t>
        </is>
      </c>
      <c r="B71" s="1" t="n">
        <v>44435.45611111111</v>
      </c>
      <c r="C71" s="1" t="n">
        <v>45958</v>
      </c>
      <c r="D71" t="inlineStr">
        <is>
          <t>NORRBOTTENS LÄN</t>
        </is>
      </c>
      <c r="E71" t="inlineStr">
        <is>
          <t>ÖVERKALIX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33497-2022</t>
        </is>
      </c>
      <c r="B72" s="1" t="n">
        <v>44788.92688657407</v>
      </c>
      <c r="C72" s="1" t="n">
        <v>45958</v>
      </c>
      <c r="D72" t="inlineStr">
        <is>
          <t>NORRBOTTENS LÄN</t>
        </is>
      </c>
      <c r="E72" t="inlineStr">
        <is>
          <t>ÖVERKALIX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68189-2020</t>
        </is>
      </c>
      <c r="B73" s="1" t="n">
        <v>44182</v>
      </c>
      <c r="C73" s="1" t="n">
        <v>45958</v>
      </c>
      <c r="D73" t="inlineStr">
        <is>
          <t>NORRBOTTENS LÄN</t>
        </is>
      </c>
      <c r="E73" t="inlineStr">
        <is>
          <t>ÖVERKALIX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40026-2021</t>
        </is>
      </c>
      <c r="B74" s="1" t="n">
        <v>44417</v>
      </c>
      <c r="C74" s="1" t="n">
        <v>45958</v>
      </c>
      <c r="D74" t="inlineStr">
        <is>
          <t>NORRBOTTENS LÄN</t>
        </is>
      </c>
      <c r="E74" t="inlineStr">
        <is>
          <t>ÖVERKALIX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46790-2021</t>
        </is>
      </c>
      <c r="B75" s="1" t="n">
        <v>44445</v>
      </c>
      <c r="C75" s="1" t="n">
        <v>45958</v>
      </c>
      <c r="D75" t="inlineStr">
        <is>
          <t>NORRBOTTENS LÄN</t>
        </is>
      </c>
      <c r="E75" t="inlineStr">
        <is>
          <t>ÖVERKALIX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7692-2022</t>
        </is>
      </c>
      <c r="B76" s="1" t="n">
        <v>44607</v>
      </c>
      <c r="C76" s="1" t="n">
        <v>45958</v>
      </c>
      <c r="D76" t="inlineStr">
        <is>
          <t>NORRBOTTENS LÄN</t>
        </is>
      </c>
      <c r="E76" t="inlineStr">
        <is>
          <t>ÖVERKALIX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15075-2021</t>
        </is>
      </c>
      <c r="B77" s="1" t="n">
        <v>44281</v>
      </c>
      <c r="C77" s="1" t="n">
        <v>45958</v>
      </c>
      <c r="D77" t="inlineStr">
        <is>
          <t>NORRBOTTENS LÄN</t>
        </is>
      </c>
      <c r="E77" t="inlineStr">
        <is>
          <t>ÖVERKALIX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25070-2021</t>
        </is>
      </c>
      <c r="B78" s="1" t="n">
        <v>44341.63340277778</v>
      </c>
      <c r="C78" s="1" t="n">
        <v>45958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29775-2021</t>
        </is>
      </c>
      <c r="B79" s="1" t="n">
        <v>44362</v>
      </c>
      <c r="C79" s="1" t="n">
        <v>45958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31456-2022</t>
        </is>
      </c>
      <c r="B80" s="1" t="n">
        <v>44774.94194444444</v>
      </c>
      <c r="C80" s="1" t="n">
        <v>45958</v>
      </c>
      <c r="D80" t="inlineStr">
        <is>
          <t>NORRBOTTENS LÄN</t>
        </is>
      </c>
      <c r="E80" t="inlineStr">
        <is>
          <t>ÖVERKALIX</t>
        </is>
      </c>
      <c r="F80" t="inlineStr">
        <is>
          <t>SCA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36921-2021</t>
        </is>
      </c>
      <c r="B81" s="1" t="n">
        <v>44393</v>
      </c>
      <c r="C81" s="1" t="n">
        <v>45958</v>
      </c>
      <c r="D81" t="inlineStr">
        <is>
          <t>NORRBOTTENS LÄN</t>
        </is>
      </c>
      <c r="E81" t="inlineStr">
        <is>
          <t>ÖVERKALIX</t>
        </is>
      </c>
      <c r="G81" t="n">
        <v>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52869-2021</t>
        </is>
      </c>
      <c r="B82" s="1" t="n">
        <v>44466</v>
      </c>
      <c r="C82" s="1" t="n">
        <v>45958</v>
      </c>
      <c r="D82" t="inlineStr">
        <is>
          <t>NORRBOTTENS LÄN</t>
        </is>
      </c>
      <c r="E82" t="inlineStr">
        <is>
          <t>ÖVERKALIX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69529-2020</t>
        </is>
      </c>
      <c r="B83" s="1" t="n">
        <v>44194</v>
      </c>
      <c r="C83" s="1" t="n">
        <v>45958</v>
      </c>
      <c r="D83" t="inlineStr">
        <is>
          <t>NORRBOTTENS LÄN</t>
        </is>
      </c>
      <c r="E83" t="inlineStr">
        <is>
          <t>ÖVERKALIX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41541-2021</t>
        </is>
      </c>
      <c r="B84" s="1" t="n">
        <v>44424</v>
      </c>
      <c r="C84" s="1" t="n">
        <v>45958</v>
      </c>
      <c r="D84" t="inlineStr">
        <is>
          <t>NORRBOTTENS LÄN</t>
        </is>
      </c>
      <c r="E84" t="inlineStr">
        <is>
          <t>ÖVERKALIX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23065-2021</t>
        </is>
      </c>
      <c r="B85" s="1" t="n">
        <v>44329.91831018519</v>
      </c>
      <c r="C85" s="1" t="n">
        <v>45958</v>
      </c>
      <c r="D85" t="inlineStr">
        <is>
          <t>NORRBOTTENS LÄN</t>
        </is>
      </c>
      <c r="E85" t="inlineStr">
        <is>
          <t>ÖVERKALIX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43433-2021</t>
        </is>
      </c>
      <c r="B86" s="1" t="n">
        <v>44432.654375</v>
      </c>
      <c r="C86" s="1" t="n">
        <v>45958</v>
      </c>
      <c r="D86" t="inlineStr">
        <is>
          <t>NORRBOTTENS LÄN</t>
        </is>
      </c>
      <c r="E86" t="inlineStr">
        <is>
          <t>ÖVERKALIX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54220-2021</t>
        </is>
      </c>
      <c r="B87" s="1" t="n">
        <v>44470</v>
      </c>
      <c r="C87" s="1" t="n">
        <v>45958</v>
      </c>
      <c r="D87" t="inlineStr">
        <is>
          <t>NORRBOTTENS LÄN</t>
        </is>
      </c>
      <c r="E87" t="inlineStr">
        <is>
          <t>ÖVERKALIX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13717-2022</t>
        </is>
      </c>
      <c r="B88" s="1" t="n">
        <v>44648</v>
      </c>
      <c r="C88" s="1" t="n">
        <v>45958</v>
      </c>
      <c r="D88" t="inlineStr">
        <is>
          <t>NORRBOTTENS LÄN</t>
        </is>
      </c>
      <c r="E88" t="inlineStr">
        <is>
          <t>ÖVERKALIX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10553-2022</t>
        </is>
      </c>
      <c r="B89" s="1" t="n">
        <v>44623.93768518518</v>
      </c>
      <c r="C89" s="1" t="n">
        <v>45958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30672-2021</t>
        </is>
      </c>
      <c r="B90" s="1" t="n">
        <v>44365.38575231482</v>
      </c>
      <c r="C90" s="1" t="n">
        <v>45958</v>
      </c>
      <c r="D90" t="inlineStr">
        <is>
          <t>NORRBOTTENS LÄN</t>
        </is>
      </c>
      <c r="E90" t="inlineStr">
        <is>
          <t>ÖVERKALIX</t>
        </is>
      </c>
      <c r="F90" t="inlineStr">
        <is>
          <t>Sveaskog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69534-2020</t>
        </is>
      </c>
      <c r="B91" s="1" t="n">
        <v>44194</v>
      </c>
      <c r="C91" s="1" t="n">
        <v>45958</v>
      </c>
      <c r="D91" t="inlineStr">
        <is>
          <t>NORRBOTTENS LÄN</t>
        </is>
      </c>
      <c r="E91" t="inlineStr">
        <is>
          <t>ÖVERKALIX</t>
        </is>
      </c>
      <c r="F91" t="inlineStr">
        <is>
          <t>Sveaskog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52993-2022</t>
        </is>
      </c>
      <c r="B92" s="1" t="n">
        <v>44875.92814814814</v>
      </c>
      <c r="C92" s="1" t="n">
        <v>45958</v>
      </c>
      <c r="D92" t="inlineStr">
        <is>
          <t>NORRBOTTENS LÄN</t>
        </is>
      </c>
      <c r="E92" t="inlineStr">
        <is>
          <t>ÖVERKALIX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43687-2021</t>
        </is>
      </c>
      <c r="B93" s="1" t="n">
        <v>44433</v>
      </c>
      <c r="C93" s="1" t="n">
        <v>45958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73759-2021</t>
        </is>
      </c>
      <c r="B94" s="1" t="n">
        <v>44551</v>
      </c>
      <c r="C94" s="1" t="n">
        <v>45958</v>
      </c>
      <c r="D94" t="inlineStr">
        <is>
          <t>NORRBOTTENS LÄN</t>
        </is>
      </c>
      <c r="E94" t="inlineStr">
        <is>
          <t>ÖVERKALIX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64304-2021</t>
        </is>
      </c>
      <c r="B95" s="1" t="n">
        <v>44510</v>
      </c>
      <c r="C95" s="1" t="n">
        <v>45958</v>
      </c>
      <c r="D95" t="inlineStr">
        <is>
          <t>NORRBOTTENS LÄN</t>
        </is>
      </c>
      <c r="E95" t="inlineStr">
        <is>
          <t>ÖVERKALIX</t>
        </is>
      </c>
      <c r="F95" t="inlineStr">
        <is>
          <t>SCA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7677-2022</t>
        </is>
      </c>
      <c r="B96" s="1" t="n">
        <v>44607</v>
      </c>
      <c r="C96" s="1" t="n">
        <v>45958</v>
      </c>
      <c r="D96" t="inlineStr">
        <is>
          <t>NORRBOTTENS LÄN</t>
        </is>
      </c>
      <c r="E96" t="inlineStr">
        <is>
          <t>ÖVERKALIX</t>
        </is>
      </c>
      <c r="F96" t="inlineStr">
        <is>
          <t>SCA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6916-2022</t>
        </is>
      </c>
      <c r="B97" s="1" t="n">
        <v>44602</v>
      </c>
      <c r="C97" s="1" t="n">
        <v>45958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20242-2022</t>
        </is>
      </c>
      <c r="B98" s="1" t="n">
        <v>44698</v>
      </c>
      <c r="C98" s="1" t="n">
        <v>45958</v>
      </c>
      <c r="D98" t="inlineStr">
        <is>
          <t>NORRBOTTENS LÄN</t>
        </is>
      </c>
      <c r="E98" t="inlineStr">
        <is>
          <t>ÖVERKALIX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19802-2021</t>
        </is>
      </c>
      <c r="B99" s="1" t="n">
        <v>44312</v>
      </c>
      <c r="C99" s="1" t="n">
        <v>45958</v>
      </c>
      <c r="D99" t="inlineStr">
        <is>
          <t>NORRBOTTENS LÄN</t>
        </is>
      </c>
      <c r="E99" t="inlineStr">
        <is>
          <t>ÖVERKALIX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44952-2024</t>
        </is>
      </c>
      <c r="B100" s="1" t="n">
        <v>45575.4482175926</v>
      </c>
      <c r="C100" s="1" t="n">
        <v>45958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55853-2024</t>
        </is>
      </c>
      <c r="B101" s="1" t="n">
        <v>45622</v>
      </c>
      <c r="C101" s="1" t="n">
        <v>45958</v>
      </c>
      <c r="D101" t="inlineStr">
        <is>
          <t>NORRBOTTENS LÄN</t>
        </is>
      </c>
      <c r="E101" t="inlineStr">
        <is>
          <t>ÖVERKALIX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54025-2023</t>
        </is>
      </c>
      <c r="B102" s="1" t="n">
        <v>45231.92543981481</v>
      </c>
      <c r="C102" s="1" t="n">
        <v>45958</v>
      </c>
      <c r="D102" t="inlineStr">
        <is>
          <t>NORRBOTTENS LÄN</t>
        </is>
      </c>
      <c r="E102" t="inlineStr">
        <is>
          <t>ÖVERKALIX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55085-2024</t>
        </is>
      </c>
      <c r="B103" s="1" t="n">
        <v>45621.43038194445</v>
      </c>
      <c r="C103" s="1" t="n">
        <v>45958</v>
      </c>
      <c r="D103" t="inlineStr">
        <is>
          <t>NORRBOTTENS LÄN</t>
        </is>
      </c>
      <c r="E103" t="inlineStr">
        <is>
          <t>ÖVERKALIX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52027-2022</t>
        </is>
      </c>
      <c r="B104" s="1" t="n">
        <v>44872</v>
      </c>
      <c r="C104" s="1" t="n">
        <v>45958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53732-2022</t>
        </is>
      </c>
      <c r="B105" s="1" t="n">
        <v>44880</v>
      </c>
      <c r="C105" s="1" t="n">
        <v>45958</v>
      </c>
      <c r="D105" t="inlineStr">
        <is>
          <t>NORRBOTTENS LÄN</t>
        </is>
      </c>
      <c r="E105" t="inlineStr">
        <is>
          <t>ÖVERKALIX</t>
        </is>
      </c>
      <c r="G105" t="n">
        <v>5.6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15301-2022</t>
        </is>
      </c>
      <c r="B106" s="1" t="n">
        <v>44659</v>
      </c>
      <c r="C106" s="1" t="n">
        <v>45958</v>
      </c>
      <c r="D106" t="inlineStr">
        <is>
          <t>NORRBOTTENS LÄN</t>
        </is>
      </c>
      <c r="E106" t="inlineStr">
        <is>
          <t>ÖVERKALIX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7039-2022</t>
        </is>
      </c>
      <c r="B107" s="1" t="n">
        <v>44603</v>
      </c>
      <c r="C107" s="1" t="n">
        <v>45958</v>
      </c>
      <c r="D107" t="inlineStr">
        <is>
          <t>NORRBOTTENS LÄN</t>
        </is>
      </c>
      <c r="E107" t="inlineStr">
        <is>
          <t>ÖVERKALIX</t>
        </is>
      </c>
      <c r="F107" t="inlineStr">
        <is>
          <t>Övriga statliga verk och myndigheter</t>
        </is>
      </c>
      <c r="G107" t="n">
        <v>10.3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8672-2025</t>
        </is>
      </c>
      <c r="B108" s="1" t="n">
        <v>45712</v>
      </c>
      <c r="C108" s="1" t="n">
        <v>45958</v>
      </c>
      <c r="D108" t="inlineStr">
        <is>
          <t>NORRBOTTENS LÄN</t>
        </is>
      </c>
      <c r="E108" t="inlineStr">
        <is>
          <t>ÖVERKALIX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20335-2022</t>
        </is>
      </c>
      <c r="B109" s="1" t="n">
        <v>44698</v>
      </c>
      <c r="C109" s="1" t="n">
        <v>45958</v>
      </c>
      <c r="D109" t="inlineStr">
        <is>
          <t>NORRBOTTENS LÄN</t>
        </is>
      </c>
      <c r="E109" t="inlineStr">
        <is>
          <t>ÖVERKALIX</t>
        </is>
      </c>
      <c r="G109" t="n">
        <v>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6917-2023</t>
        </is>
      </c>
      <c r="B110" s="1" t="n">
        <v>44964</v>
      </c>
      <c r="C110" s="1" t="n">
        <v>45958</v>
      </c>
      <c r="D110" t="inlineStr">
        <is>
          <t>NORRBOTTENS LÄN</t>
        </is>
      </c>
      <c r="E110" t="inlineStr">
        <is>
          <t>ÖVERKALIX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69110-2021</t>
        </is>
      </c>
      <c r="B111" s="1" t="n">
        <v>44530</v>
      </c>
      <c r="C111" s="1" t="n">
        <v>45958</v>
      </c>
      <c r="D111" t="inlineStr">
        <is>
          <t>NORRBOTTENS LÄN</t>
        </is>
      </c>
      <c r="E111" t="inlineStr">
        <is>
          <t>ÖVERKALIX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41830-2024</t>
        </is>
      </c>
      <c r="B112" s="1" t="n">
        <v>45561</v>
      </c>
      <c r="C112" s="1" t="n">
        <v>45958</v>
      </c>
      <c r="D112" t="inlineStr">
        <is>
          <t>NORRBOTTENS LÄN</t>
        </is>
      </c>
      <c r="E112" t="inlineStr">
        <is>
          <t>ÖVERKALIX</t>
        </is>
      </c>
      <c r="F112" t="inlineStr">
        <is>
          <t>SCA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62259-2021</t>
        </is>
      </c>
      <c r="B113" s="1" t="n">
        <v>44501</v>
      </c>
      <c r="C113" s="1" t="n">
        <v>45958</v>
      </c>
      <c r="D113" t="inlineStr">
        <is>
          <t>NORRBOTTENS LÄN</t>
        </is>
      </c>
      <c r="E113" t="inlineStr">
        <is>
          <t>ÖVERKALIX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59911-2024</t>
        </is>
      </c>
      <c r="B114" s="1" t="n">
        <v>45641.70442129629</v>
      </c>
      <c r="C114" s="1" t="n">
        <v>45958</v>
      </c>
      <c r="D114" t="inlineStr">
        <is>
          <t>NORRBOTTENS LÄN</t>
        </is>
      </c>
      <c r="E114" t="inlineStr">
        <is>
          <t>ÖVERKALIX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26644-2021</t>
        </is>
      </c>
      <c r="B115" s="1" t="n">
        <v>44348</v>
      </c>
      <c r="C115" s="1" t="n">
        <v>45958</v>
      </c>
      <c r="D115" t="inlineStr">
        <is>
          <t>NORRBOTTENS LÄN</t>
        </is>
      </c>
      <c r="E115" t="inlineStr">
        <is>
          <t>ÖVERKALIX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52984-2024</t>
        </is>
      </c>
      <c r="B116" s="1" t="n">
        <v>45611</v>
      </c>
      <c r="C116" s="1" t="n">
        <v>45958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Sveaskog</t>
        </is>
      </c>
      <c r="G116" t="n">
        <v>25.9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24548-2024</t>
        </is>
      </c>
      <c r="B117" s="1" t="n">
        <v>45460</v>
      </c>
      <c r="C117" s="1" t="n">
        <v>45958</v>
      </c>
      <c r="D117" t="inlineStr">
        <is>
          <t>NORRBOTTENS LÄN</t>
        </is>
      </c>
      <c r="E117" t="inlineStr">
        <is>
          <t>ÖVERKALIX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51745-2024</t>
        </is>
      </c>
      <c r="B118" s="1" t="n">
        <v>45607.41652777778</v>
      </c>
      <c r="C118" s="1" t="n">
        <v>45958</v>
      </c>
      <c r="D118" t="inlineStr">
        <is>
          <t>NORRBOTTENS LÄN</t>
        </is>
      </c>
      <c r="E118" t="inlineStr">
        <is>
          <t>ÖVERKALIX</t>
        </is>
      </c>
      <c r="G118" t="n">
        <v>17.5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21053-2025</t>
        </is>
      </c>
      <c r="B119" s="1" t="n">
        <v>45777.5672337963</v>
      </c>
      <c r="C119" s="1" t="n">
        <v>45958</v>
      </c>
      <c r="D119" t="inlineStr">
        <is>
          <t>NORRBOTTENS LÄN</t>
        </is>
      </c>
      <c r="E119" t="inlineStr">
        <is>
          <t>ÖVERKALIX</t>
        </is>
      </c>
      <c r="F119" t="inlineStr">
        <is>
          <t>Sveaskog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60400-2022</t>
        </is>
      </c>
      <c r="B120" s="1" t="n">
        <v>44910.92200231482</v>
      </c>
      <c r="C120" s="1" t="n">
        <v>45958</v>
      </c>
      <c r="D120" t="inlineStr">
        <is>
          <t>NORRBOTTENS LÄN</t>
        </is>
      </c>
      <c r="E120" t="inlineStr">
        <is>
          <t>ÖVERKALIX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21209-2025</t>
        </is>
      </c>
      <c r="B121" s="1" t="n">
        <v>45779.48663194444</v>
      </c>
      <c r="C121" s="1" t="n">
        <v>45958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Sveaskog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51526-2024</t>
        </is>
      </c>
      <c r="B122" s="1" t="n">
        <v>45604</v>
      </c>
      <c r="C122" s="1" t="n">
        <v>45958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21187-2025</t>
        </is>
      </c>
      <c r="B123" s="1" t="n">
        <v>45779</v>
      </c>
      <c r="C123" s="1" t="n">
        <v>45958</v>
      </c>
      <c r="D123" t="inlineStr">
        <is>
          <t>NORRBOTTENS LÄN</t>
        </is>
      </c>
      <c r="E123" t="inlineStr">
        <is>
          <t>ÖVERKALIX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21423-2025</t>
        </is>
      </c>
      <c r="B124" s="1" t="n">
        <v>45782</v>
      </c>
      <c r="C124" s="1" t="n">
        <v>45958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Sveaskog</t>
        </is>
      </c>
      <c r="G124" t="n">
        <v>10.3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56402-2022</t>
        </is>
      </c>
      <c r="B125" s="1" t="n">
        <v>44890.94890046296</v>
      </c>
      <c r="C125" s="1" t="n">
        <v>45958</v>
      </c>
      <c r="D125" t="inlineStr">
        <is>
          <t>NORRBOTTENS LÄN</t>
        </is>
      </c>
      <c r="E125" t="inlineStr">
        <is>
          <t>ÖVERKALIX</t>
        </is>
      </c>
      <c r="F125" t="inlineStr">
        <is>
          <t>SCA</t>
        </is>
      </c>
      <c r="G125" t="n">
        <v>13.8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54026-2023</t>
        </is>
      </c>
      <c r="B126" s="1" t="n">
        <v>45231</v>
      </c>
      <c r="C126" s="1" t="n">
        <v>45958</v>
      </c>
      <c r="D126" t="inlineStr">
        <is>
          <t>NORRBOTTENS LÄN</t>
        </is>
      </c>
      <c r="E126" t="inlineStr">
        <is>
          <t>ÖVERKALIX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21520-2025</t>
        </is>
      </c>
      <c r="B127" s="1" t="n">
        <v>45782</v>
      </c>
      <c r="C127" s="1" t="n">
        <v>45958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21516-2025</t>
        </is>
      </c>
      <c r="B128" s="1" t="n">
        <v>45782</v>
      </c>
      <c r="C128" s="1" t="n">
        <v>45958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Sveaskog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39974-2021</t>
        </is>
      </c>
      <c r="B129" s="1" t="n">
        <v>44417</v>
      </c>
      <c r="C129" s="1" t="n">
        <v>45958</v>
      </c>
      <c r="D129" t="inlineStr">
        <is>
          <t>NORRBOTTENS LÄN</t>
        </is>
      </c>
      <c r="E129" t="inlineStr">
        <is>
          <t>ÖVERKALIX</t>
        </is>
      </c>
      <c r="G129" t="n">
        <v>21.6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21826-2025</t>
        </is>
      </c>
      <c r="B130" s="1" t="n">
        <v>45783</v>
      </c>
      <c r="C130" s="1" t="n">
        <v>45958</v>
      </c>
      <c r="D130" t="inlineStr">
        <is>
          <t>NORRBOTTENS LÄN</t>
        </is>
      </c>
      <c r="E130" t="inlineStr">
        <is>
          <t>ÖVERKALIX</t>
        </is>
      </c>
      <c r="G130" t="n">
        <v>10.3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26140-2023</t>
        </is>
      </c>
      <c r="B131" s="1" t="n">
        <v>45086</v>
      </c>
      <c r="C131" s="1" t="n">
        <v>45958</v>
      </c>
      <c r="D131" t="inlineStr">
        <is>
          <t>NORRBOTTENS LÄN</t>
        </is>
      </c>
      <c r="E131" t="inlineStr">
        <is>
          <t>ÖVERKALIX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22108-2025</t>
        </is>
      </c>
      <c r="B132" s="1" t="n">
        <v>45785</v>
      </c>
      <c r="C132" s="1" t="n">
        <v>45958</v>
      </c>
      <c r="D132" t="inlineStr">
        <is>
          <t>NORRBOTTENS LÄN</t>
        </is>
      </c>
      <c r="E132" t="inlineStr">
        <is>
          <t>ÖVERKALIX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58038-2024</t>
        </is>
      </c>
      <c r="B133" s="1" t="n">
        <v>45631.71950231482</v>
      </c>
      <c r="C133" s="1" t="n">
        <v>45958</v>
      </c>
      <c r="D133" t="inlineStr">
        <is>
          <t>NORRBOTTENS LÄN</t>
        </is>
      </c>
      <c r="E133" t="inlineStr">
        <is>
          <t>ÖVERKALIX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60417-2024</t>
        </is>
      </c>
      <c r="B134" s="1" t="n">
        <v>45643.53211805555</v>
      </c>
      <c r="C134" s="1" t="n">
        <v>45958</v>
      </c>
      <c r="D134" t="inlineStr">
        <is>
          <t>NORRBOTTENS LÄN</t>
        </is>
      </c>
      <c r="E134" t="inlineStr">
        <is>
          <t>ÖVERKALIX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1944-2022</t>
        </is>
      </c>
      <c r="B135" s="1" t="n">
        <v>44575</v>
      </c>
      <c r="C135" s="1" t="n">
        <v>45958</v>
      </c>
      <c r="D135" t="inlineStr">
        <is>
          <t>NORRBOTTENS LÄN</t>
        </is>
      </c>
      <c r="E135" t="inlineStr">
        <is>
          <t>ÖVERKALIX</t>
        </is>
      </c>
      <c r="G135" t="n">
        <v>10.4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15493-2025</t>
        </is>
      </c>
      <c r="B136" s="1" t="n">
        <v>45747</v>
      </c>
      <c r="C136" s="1" t="n">
        <v>45958</v>
      </c>
      <c r="D136" t="inlineStr">
        <is>
          <t>NORRBOTTENS LÄN</t>
        </is>
      </c>
      <c r="E136" t="inlineStr">
        <is>
          <t>ÖVERKALIX</t>
        </is>
      </c>
      <c r="G136" t="n">
        <v>7.8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22710-2025</t>
        </is>
      </c>
      <c r="B137" s="1" t="n">
        <v>45789.55678240741</v>
      </c>
      <c r="C137" s="1" t="n">
        <v>45958</v>
      </c>
      <c r="D137" t="inlineStr">
        <is>
          <t>NORRBOTTENS LÄN</t>
        </is>
      </c>
      <c r="E137" t="inlineStr">
        <is>
          <t>ÖVERKALIX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22702-2025</t>
        </is>
      </c>
      <c r="B138" s="1" t="n">
        <v>45789</v>
      </c>
      <c r="C138" s="1" t="n">
        <v>45958</v>
      </c>
      <c r="D138" t="inlineStr">
        <is>
          <t>NORRBOTTENS LÄN</t>
        </is>
      </c>
      <c r="E138" t="inlineStr">
        <is>
          <t>ÖVERKALIX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38154-2024</t>
        </is>
      </c>
      <c r="B139" s="1" t="n">
        <v>45545</v>
      </c>
      <c r="C139" s="1" t="n">
        <v>45958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5170-2025</t>
        </is>
      </c>
      <c r="B140" s="1" t="n">
        <v>45691.61585648148</v>
      </c>
      <c r="C140" s="1" t="n">
        <v>45958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20.3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5703-2023</t>
        </is>
      </c>
      <c r="B141" s="1" t="n">
        <v>44960.94230324074</v>
      </c>
      <c r="C141" s="1" t="n">
        <v>45958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33301-2024</t>
        </is>
      </c>
      <c r="B142" s="1" t="n">
        <v>45518.96950231482</v>
      </c>
      <c r="C142" s="1" t="n">
        <v>45958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2723-2025</t>
        </is>
      </c>
      <c r="B143" s="1" t="n">
        <v>45677</v>
      </c>
      <c r="C143" s="1" t="n">
        <v>45958</v>
      </c>
      <c r="D143" t="inlineStr">
        <is>
          <t>NORRBOTTENS LÄN</t>
        </is>
      </c>
      <c r="E143" t="inlineStr">
        <is>
          <t>ÖVERKALIX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2725-2025</t>
        </is>
      </c>
      <c r="B144" s="1" t="n">
        <v>45677.43979166666</v>
      </c>
      <c r="C144" s="1" t="n">
        <v>45958</v>
      </c>
      <c r="D144" t="inlineStr">
        <is>
          <t>NORRBOTTENS LÄN</t>
        </is>
      </c>
      <c r="E144" t="inlineStr">
        <is>
          <t>ÖVERKALIX</t>
        </is>
      </c>
      <c r="G144" t="n">
        <v>13.6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35169-2022</t>
        </is>
      </c>
      <c r="B145" s="1" t="n">
        <v>44797.6012962963</v>
      </c>
      <c r="C145" s="1" t="n">
        <v>45958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Sveaskog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32477-2024</t>
        </is>
      </c>
      <c r="B146" s="1" t="n">
        <v>45513</v>
      </c>
      <c r="C146" s="1" t="n">
        <v>45958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55838-2024</t>
        </is>
      </c>
      <c r="B147" s="1" t="n">
        <v>45622</v>
      </c>
      <c r="C147" s="1" t="n">
        <v>45958</v>
      </c>
      <c r="D147" t="inlineStr">
        <is>
          <t>NORRBOTTENS LÄN</t>
        </is>
      </c>
      <c r="E147" t="inlineStr">
        <is>
          <t>ÖVERKALIX</t>
        </is>
      </c>
      <c r="G147" t="n">
        <v>6.1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44306-2021</t>
        </is>
      </c>
      <c r="B148" s="1" t="n">
        <v>44435</v>
      </c>
      <c r="C148" s="1" t="n">
        <v>45958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8407-2025</t>
        </is>
      </c>
      <c r="B149" s="1" t="n">
        <v>45709.3868287037</v>
      </c>
      <c r="C149" s="1" t="n">
        <v>45958</v>
      </c>
      <c r="D149" t="inlineStr">
        <is>
          <t>NORRBOTTENS LÄN</t>
        </is>
      </c>
      <c r="E149" t="inlineStr">
        <is>
          <t>ÖVERKALIX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23867-2025</t>
        </is>
      </c>
      <c r="B150" s="1" t="n">
        <v>45793</v>
      </c>
      <c r="C150" s="1" t="n">
        <v>45958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23873-2025</t>
        </is>
      </c>
      <c r="B151" s="1" t="n">
        <v>45793.67989583333</v>
      </c>
      <c r="C151" s="1" t="n">
        <v>45958</v>
      </c>
      <c r="D151" t="inlineStr">
        <is>
          <t>NORRBOTTENS LÄN</t>
        </is>
      </c>
      <c r="E151" t="inlineStr">
        <is>
          <t>ÖVERKALIX</t>
        </is>
      </c>
      <c r="F151" t="inlineStr">
        <is>
          <t>Sveaskog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30881-2024</t>
        </is>
      </c>
      <c r="B152" s="1" t="n">
        <v>45498</v>
      </c>
      <c r="C152" s="1" t="n">
        <v>45958</v>
      </c>
      <c r="D152" t="inlineStr">
        <is>
          <t>NORRBOTTENS LÄN</t>
        </is>
      </c>
      <c r="E152" t="inlineStr">
        <is>
          <t>ÖVERKALIX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9458-2025</t>
        </is>
      </c>
      <c r="B153" s="1" t="n">
        <v>45715</v>
      </c>
      <c r="C153" s="1" t="n">
        <v>45958</v>
      </c>
      <c r="D153" t="inlineStr">
        <is>
          <t>NORRBOTTENS LÄN</t>
        </is>
      </c>
      <c r="E153" t="inlineStr">
        <is>
          <t>ÖVERKALIX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25510-2024</t>
        </is>
      </c>
      <c r="B154" s="1" t="n">
        <v>45463</v>
      </c>
      <c r="C154" s="1" t="n">
        <v>45958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23870-2025</t>
        </is>
      </c>
      <c r="B155" s="1" t="n">
        <v>45793.67730324074</v>
      </c>
      <c r="C155" s="1" t="n">
        <v>45958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Sveaskog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56076-2021</t>
        </is>
      </c>
      <c r="B156" s="1" t="n">
        <v>44477.53277777778</v>
      </c>
      <c r="C156" s="1" t="n">
        <v>45958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Sveaskog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23866-2025</t>
        </is>
      </c>
      <c r="B157" s="1" t="n">
        <v>45793</v>
      </c>
      <c r="C157" s="1" t="n">
        <v>45958</v>
      </c>
      <c r="D157" t="inlineStr">
        <is>
          <t>NORRBOTTENS LÄN</t>
        </is>
      </c>
      <c r="E157" t="inlineStr">
        <is>
          <t>ÖVERKALIX</t>
        </is>
      </c>
      <c r="F157" t="inlineStr">
        <is>
          <t>Sveaskog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2009-2024</t>
        </is>
      </c>
      <c r="B158" s="1" t="n">
        <v>45308.66241898148</v>
      </c>
      <c r="C158" s="1" t="n">
        <v>45958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43314-2022</t>
        </is>
      </c>
      <c r="B159" s="1" t="n">
        <v>44834</v>
      </c>
      <c r="C159" s="1" t="n">
        <v>45958</v>
      </c>
      <c r="D159" t="inlineStr">
        <is>
          <t>NORRBOTTENS LÄN</t>
        </is>
      </c>
      <c r="E159" t="inlineStr">
        <is>
          <t>ÖVERKALIX</t>
        </is>
      </c>
      <c r="G159" t="n">
        <v>13.1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60418-2024</t>
        </is>
      </c>
      <c r="B160" s="1" t="n">
        <v>45643</v>
      </c>
      <c r="C160" s="1" t="n">
        <v>45958</v>
      </c>
      <c r="D160" t="inlineStr">
        <is>
          <t>NORRBOTTENS LÄN</t>
        </is>
      </c>
      <c r="E160" t="inlineStr">
        <is>
          <t>ÖVERKALIX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24136-2025</t>
        </is>
      </c>
      <c r="B161" s="1" t="n">
        <v>45796</v>
      </c>
      <c r="C161" s="1" t="n">
        <v>45958</v>
      </c>
      <c r="D161" t="inlineStr">
        <is>
          <t>NORRBOTTENS LÄN</t>
        </is>
      </c>
      <c r="E161" t="inlineStr">
        <is>
          <t>ÖVERKALIX</t>
        </is>
      </c>
      <c r="F161" t="inlineStr">
        <is>
          <t>Sveaskog</t>
        </is>
      </c>
      <c r="G161" t="n">
        <v>33.5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24141-2025</t>
        </is>
      </c>
      <c r="B162" s="1" t="n">
        <v>45796.64229166666</v>
      </c>
      <c r="C162" s="1" t="n">
        <v>45958</v>
      </c>
      <c r="D162" t="inlineStr">
        <is>
          <t>NORRBOTTENS LÄN</t>
        </is>
      </c>
      <c r="E162" t="inlineStr">
        <is>
          <t>ÖVERKALIX</t>
        </is>
      </c>
      <c r="F162" t="inlineStr">
        <is>
          <t>Sveaskog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25991-2024</t>
        </is>
      </c>
      <c r="B163" s="1" t="n">
        <v>45467.76189814815</v>
      </c>
      <c r="C163" s="1" t="n">
        <v>45958</v>
      </c>
      <c r="D163" t="inlineStr">
        <is>
          <t>NORRBOTTENS LÄN</t>
        </is>
      </c>
      <c r="E163" t="inlineStr">
        <is>
          <t>ÖVERKALIX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49923-2024</t>
        </is>
      </c>
      <c r="B164" s="1" t="n">
        <v>45597</v>
      </c>
      <c r="C164" s="1" t="n">
        <v>45958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8.4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11329-2024</t>
        </is>
      </c>
      <c r="B165" s="1" t="n">
        <v>45371.97140046296</v>
      </c>
      <c r="C165" s="1" t="n">
        <v>45958</v>
      </c>
      <c r="D165" t="inlineStr">
        <is>
          <t>NORRBOTTENS LÄN</t>
        </is>
      </c>
      <c r="E165" t="inlineStr">
        <is>
          <t>ÖVERKALIX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4961-2025</t>
        </is>
      </c>
      <c r="B166" s="1" t="n">
        <v>45689.81684027778</v>
      </c>
      <c r="C166" s="1" t="n">
        <v>45958</v>
      </c>
      <c r="D166" t="inlineStr">
        <is>
          <t>NORRBOTTENS LÄN</t>
        </is>
      </c>
      <c r="E166" t="inlineStr">
        <is>
          <t>ÖVERKALIX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8026-2023</t>
        </is>
      </c>
      <c r="B167" s="1" t="n">
        <v>44973.94396990741</v>
      </c>
      <c r="C167" s="1" t="n">
        <v>45958</v>
      </c>
      <c r="D167" t="inlineStr">
        <is>
          <t>NORRBOTTENS LÄN</t>
        </is>
      </c>
      <c r="E167" t="inlineStr">
        <is>
          <t>ÖVERKALIX</t>
        </is>
      </c>
      <c r="F167" t="inlineStr">
        <is>
          <t>SCA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47734-2024</t>
        </is>
      </c>
      <c r="B168" s="1" t="n">
        <v>45588.51136574074</v>
      </c>
      <c r="C168" s="1" t="n">
        <v>45958</v>
      </c>
      <c r="D168" t="inlineStr">
        <is>
          <t>NORRBOTTENS LÄN</t>
        </is>
      </c>
      <c r="E168" t="inlineStr">
        <is>
          <t>ÖVERKALIX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21302-2024</t>
        </is>
      </c>
      <c r="B169" s="1" t="n">
        <v>45440</v>
      </c>
      <c r="C169" s="1" t="n">
        <v>45958</v>
      </c>
      <c r="D169" t="inlineStr">
        <is>
          <t>NORRBOTTENS LÄN</t>
        </is>
      </c>
      <c r="E169" t="inlineStr">
        <is>
          <t>ÖVERKALIX</t>
        </is>
      </c>
      <c r="F169" t="inlineStr">
        <is>
          <t>Sveaskog</t>
        </is>
      </c>
      <c r="G169" t="n">
        <v>7.5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24144-2025</t>
        </is>
      </c>
      <c r="B170" s="1" t="n">
        <v>45796.6446412037</v>
      </c>
      <c r="C170" s="1" t="n">
        <v>45958</v>
      </c>
      <c r="D170" t="inlineStr">
        <is>
          <t>NORRBOTTENS LÄN</t>
        </is>
      </c>
      <c r="E170" t="inlineStr">
        <is>
          <t>ÖVERKALIX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12580-2024</t>
        </is>
      </c>
      <c r="B171" s="1" t="n">
        <v>45379.92288194445</v>
      </c>
      <c r="C171" s="1" t="n">
        <v>45958</v>
      </c>
      <c r="D171" t="inlineStr">
        <is>
          <t>NORRBOTTENS LÄN</t>
        </is>
      </c>
      <c r="E171" t="inlineStr">
        <is>
          <t>ÖVERKALIX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4114-2024</t>
        </is>
      </c>
      <c r="B172" s="1" t="n">
        <v>45323</v>
      </c>
      <c r="C172" s="1" t="n">
        <v>45958</v>
      </c>
      <c r="D172" t="inlineStr">
        <is>
          <t>NORRBOTTENS LÄN</t>
        </is>
      </c>
      <c r="E172" t="inlineStr">
        <is>
          <t>ÖVERKALIX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57966-2023</t>
        </is>
      </c>
      <c r="B173" s="1" t="n">
        <v>45244</v>
      </c>
      <c r="C173" s="1" t="n">
        <v>45958</v>
      </c>
      <c r="D173" t="inlineStr">
        <is>
          <t>NORRBOTTENS LÄN</t>
        </is>
      </c>
      <c r="E173" t="inlineStr">
        <is>
          <t>ÖVERKALIX</t>
        </is>
      </c>
      <c r="G173" t="n">
        <v>21.7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25629-2025</t>
        </is>
      </c>
      <c r="B174" s="1" t="n">
        <v>45803</v>
      </c>
      <c r="C174" s="1" t="n">
        <v>45958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25670-2025</t>
        </is>
      </c>
      <c r="B175" s="1" t="n">
        <v>45803.62844907407</v>
      </c>
      <c r="C175" s="1" t="n">
        <v>45958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22.1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22977-2022</t>
        </is>
      </c>
      <c r="B176" s="1" t="n">
        <v>44717</v>
      </c>
      <c r="C176" s="1" t="n">
        <v>45958</v>
      </c>
      <c r="D176" t="inlineStr">
        <is>
          <t>NORRBOTTENS LÄN</t>
        </is>
      </c>
      <c r="E176" t="inlineStr">
        <is>
          <t>ÖVERKALIX</t>
        </is>
      </c>
      <c r="G176" t="n">
        <v>19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32616-2024</t>
        </is>
      </c>
      <c r="B177" s="1" t="n">
        <v>45513.67081018518</v>
      </c>
      <c r="C177" s="1" t="n">
        <v>45958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12177-2024</t>
        </is>
      </c>
      <c r="B178" s="1" t="n">
        <v>45377</v>
      </c>
      <c r="C178" s="1" t="n">
        <v>45958</v>
      </c>
      <c r="D178" t="inlineStr">
        <is>
          <t>NORRBOTTENS LÄN</t>
        </is>
      </c>
      <c r="E178" t="inlineStr">
        <is>
          <t>ÖVERKALIX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22071-2024</t>
        </is>
      </c>
      <c r="B179" s="1" t="n">
        <v>45443.63476851852</v>
      </c>
      <c r="C179" s="1" t="n">
        <v>45958</v>
      </c>
      <c r="D179" t="inlineStr">
        <is>
          <t>NORRBOTTENS LÄN</t>
        </is>
      </c>
      <c r="E179" t="inlineStr">
        <is>
          <t>ÖVERKALIX</t>
        </is>
      </c>
      <c r="F179" t="inlineStr">
        <is>
          <t>Sveaskog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8422-2025</t>
        </is>
      </c>
      <c r="B180" s="1" t="n">
        <v>45709.4059837963</v>
      </c>
      <c r="C180" s="1" t="n">
        <v>45958</v>
      </c>
      <c r="D180" t="inlineStr">
        <is>
          <t>NORRBOTTENS LÄN</t>
        </is>
      </c>
      <c r="E180" t="inlineStr">
        <is>
          <t>ÖVERKALIX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24549-2024</t>
        </is>
      </c>
      <c r="B181" s="1" t="n">
        <v>45460.40491898148</v>
      </c>
      <c r="C181" s="1" t="n">
        <v>45958</v>
      </c>
      <c r="D181" t="inlineStr">
        <is>
          <t>NORRBOTTENS LÄN</t>
        </is>
      </c>
      <c r="E181" t="inlineStr">
        <is>
          <t>ÖVERKALIX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26450-2025</t>
        </is>
      </c>
      <c r="B182" s="1" t="n">
        <v>45807</v>
      </c>
      <c r="C182" s="1" t="n">
        <v>45958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Sveaskog</t>
        </is>
      </c>
      <c r="G182" t="n">
        <v>8.300000000000001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7231-2025</t>
        </is>
      </c>
      <c r="B183" s="1" t="n">
        <v>45702</v>
      </c>
      <c r="C183" s="1" t="n">
        <v>45958</v>
      </c>
      <c r="D183" t="inlineStr">
        <is>
          <t>NORRBOTTENS LÄN</t>
        </is>
      </c>
      <c r="E183" t="inlineStr">
        <is>
          <t>ÖVERKALIX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26442-2025</t>
        </is>
      </c>
      <c r="B184" s="1" t="n">
        <v>45807.41231481481</v>
      </c>
      <c r="C184" s="1" t="n">
        <v>45958</v>
      </c>
      <c r="D184" t="inlineStr">
        <is>
          <t>NORRBOTTENS LÄN</t>
        </is>
      </c>
      <c r="E184" t="inlineStr">
        <is>
          <t>ÖVERKALIX</t>
        </is>
      </c>
      <c r="F184" t="inlineStr">
        <is>
          <t>Sveaskog</t>
        </is>
      </c>
      <c r="G184" t="n">
        <v>8.300000000000001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26441-2025</t>
        </is>
      </c>
      <c r="B185" s="1" t="n">
        <v>45807.41030092593</v>
      </c>
      <c r="C185" s="1" t="n">
        <v>45958</v>
      </c>
      <c r="D185" t="inlineStr">
        <is>
          <t>NORRBOTTENS LÄN</t>
        </is>
      </c>
      <c r="E185" t="inlineStr">
        <is>
          <t>ÖVERKALIX</t>
        </is>
      </c>
      <c r="F185" t="inlineStr">
        <is>
          <t>Sveaskog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26444-2025</t>
        </is>
      </c>
      <c r="B186" s="1" t="n">
        <v>45807.41303240741</v>
      </c>
      <c r="C186" s="1" t="n">
        <v>45958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Sveaskog</t>
        </is>
      </c>
      <c r="G186" t="n">
        <v>5.9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26445-2025</t>
        </is>
      </c>
      <c r="B187" s="1" t="n">
        <v>45807.41424768518</v>
      </c>
      <c r="C187" s="1" t="n">
        <v>45958</v>
      </c>
      <c r="D187" t="inlineStr">
        <is>
          <t>NORRBOTTENS LÄN</t>
        </is>
      </c>
      <c r="E187" t="inlineStr">
        <is>
          <t>ÖVERKALIX</t>
        </is>
      </c>
      <c r="F187" t="inlineStr">
        <is>
          <t>Sveaskog</t>
        </is>
      </c>
      <c r="G187" t="n">
        <v>11.2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26452-2025</t>
        </is>
      </c>
      <c r="B188" s="1" t="n">
        <v>45807</v>
      </c>
      <c r="C188" s="1" t="n">
        <v>45958</v>
      </c>
      <c r="D188" t="inlineStr">
        <is>
          <t>NORRBOTTENS LÄN</t>
        </is>
      </c>
      <c r="E188" t="inlineStr">
        <is>
          <t>ÖVERKALIX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26944-2025</t>
        </is>
      </c>
      <c r="B189" s="1" t="n">
        <v>45811.42734953704</v>
      </c>
      <c r="C189" s="1" t="n">
        <v>45958</v>
      </c>
      <c r="D189" t="inlineStr">
        <is>
          <t>NORRBOTTENS LÄN</t>
        </is>
      </c>
      <c r="E189" t="inlineStr">
        <is>
          <t>ÖVERKALIX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59832-2024</t>
        </is>
      </c>
      <c r="B190" s="1" t="n">
        <v>45639</v>
      </c>
      <c r="C190" s="1" t="n">
        <v>45958</v>
      </c>
      <c r="D190" t="inlineStr">
        <is>
          <t>NORRBOTTENS LÄN</t>
        </is>
      </c>
      <c r="E190" t="inlineStr">
        <is>
          <t>ÖVERKALIX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26449-2025</t>
        </is>
      </c>
      <c r="B191" s="1" t="n">
        <v>45807.41793981481</v>
      </c>
      <c r="C191" s="1" t="n">
        <v>45958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Sveaskog</t>
        </is>
      </c>
      <c r="G191" t="n">
        <v>10.9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26945-2025</t>
        </is>
      </c>
      <c r="B192" s="1" t="n">
        <v>45811.42734953704</v>
      </c>
      <c r="C192" s="1" t="n">
        <v>45958</v>
      </c>
      <c r="D192" t="inlineStr">
        <is>
          <t>NORRBOTTENS LÄN</t>
        </is>
      </c>
      <c r="E192" t="inlineStr">
        <is>
          <t>ÖVERKALIX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26666-2025</t>
        </is>
      </c>
      <c r="B193" s="1" t="n">
        <v>45810</v>
      </c>
      <c r="C193" s="1" t="n">
        <v>45958</v>
      </c>
      <c r="D193" t="inlineStr">
        <is>
          <t>NORRBOTTENS LÄN</t>
        </is>
      </c>
      <c r="E193" t="inlineStr">
        <is>
          <t>ÖVERKALIX</t>
        </is>
      </c>
      <c r="F193" t="inlineStr">
        <is>
          <t>SCA</t>
        </is>
      </c>
      <c r="G193" t="n">
        <v>17.5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55772-2022</t>
        </is>
      </c>
      <c r="B194" s="1" t="n">
        <v>44886</v>
      </c>
      <c r="C194" s="1" t="n">
        <v>45958</v>
      </c>
      <c r="D194" t="inlineStr">
        <is>
          <t>NORRBOTTENS LÄN</t>
        </is>
      </c>
      <c r="E194" t="inlineStr">
        <is>
          <t>ÖVERKALIX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55857-2024</t>
        </is>
      </c>
      <c r="B195" s="1" t="n">
        <v>45622</v>
      </c>
      <c r="C195" s="1" t="n">
        <v>45958</v>
      </c>
      <c r="D195" t="inlineStr">
        <is>
          <t>NORRBOTTENS LÄN</t>
        </is>
      </c>
      <c r="E195" t="inlineStr">
        <is>
          <t>ÖVERKALIX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27461-2025</t>
        </is>
      </c>
      <c r="B196" s="1" t="n">
        <v>45813</v>
      </c>
      <c r="C196" s="1" t="n">
        <v>45958</v>
      </c>
      <c r="D196" t="inlineStr">
        <is>
          <t>NORRBOTTENS LÄN</t>
        </is>
      </c>
      <c r="E196" t="inlineStr">
        <is>
          <t>ÖVERKALIX</t>
        </is>
      </c>
      <c r="F196" t="inlineStr">
        <is>
          <t>SCA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27451-2025</t>
        </is>
      </c>
      <c r="B197" s="1" t="n">
        <v>45813.34421296296</v>
      </c>
      <c r="C197" s="1" t="n">
        <v>45958</v>
      </c>
      <c r="D197" t="inlineStr">
        <is>
          <t>NORRBOTTENS LÄN</t>
        </is>
      </c>
      <c r="E197" t="inlineStr">
        <is>
          <t>ÖVERKALIX</t>
        </is>
      </c>
      <c r="F197" t="inlineStr">
        <is>
          <t>SCA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27456-2025</t>
        </is>
      </c>
      <c r="B198" s="1" t="n">
        <v>45813.3452662037</v>
      </c>
      <c r="C198" s="1" t="n">
        <v>45958</v>
      </c>
      <c r="D198" t="inlineStr">
        <is>
          <t>NORRBOTTENS LÄN</t>
        </is>
      </c>
      <c r="E198" t="inlineStr">
        <is>
          <t>ÖVERKALIX</t>
        </is>
      </c>
      <c r="F198" t="inlineStr">
        <is>
          <t>SCA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27457-2025</t>
        </is>
      </c>
      <c r="B199" s="1" t="n">
        <v>45813.34533564815</v>
      </c>
      <c r="C199" s="1" t="n">
        <v>45958</v>
      </c>
      <c r="D199" t="inlineStr">
        <is>
          <t>NORRBOTTENS LÄN</t>
        </is>
      </c>
      <c r="E199" t="inlineStr">
        <is>
          <t>ÖVERKALIX</t>
        </is>
      </c>
      <c r="F199" t="inlineStr">
        <is>
          <t>SCA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27613-2025</t>
        </is>
      </c>
      <c r="B200" s="1" t="n">
        <v>45813.54103009259</v>
      </c>
      <c r="C200" s="1" t="n">
        <v>45958</v>
      </c>
      <c r="D200" t="inlineStr">
        <is>
          <t>NORRBOTTENS LÄN</t>
        </is>
      </c>
      <c r="E200" t="inlineStr">
        <is>
          <t>ÖVERKALIX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26366-2024</t>
        </is>
      </c>
      <c r="B201" s="1" t="n">
        <v>45469.38991898148</v>
      </c>
      <c r="C201" s="1" t="n">
        <v>45958</v>
      </c>
      <c r="D201" t="inlineStr">
        <is>
          <t>NORRBOTTENS LÄN</t>
        </is>
      </c>
      <c r="E201" t="inlineStr">
        <is>
          <t>ÖVERKALIX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42721-2023</t>
        </is>
      </c>
      <c r="B202" s="1" t="n">
        <v>45181</v>
      </c>
      <c r="C202" s="1" t="n">
        <v>45958</v>
      </c>
      <c r="D202" t="inlineStr">
        <is>
          <t>NORRBOTTENS LÄN</t>
        </is>
      </c>
      <c r="E202" t="inlineStr">
        <is>
          <t>ÖVERKALIX</t>
        </is>
      </c>
      <c r="G202" t="n">
        <v>13.1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27452-2025</t>
        </is>
      </c>
      <c r="B203" s="1" t="n">
        <v>45813.34443287037</v>
      </c>
      <c r="C203" s="1" t="n">
        <v>45958</v>
      </c>
      <c r="D203" t="inlineStr">
        <is>
          <t>NORRBOTTENS LÄN</t>
        </is>
      </c>
      <c r="E203" t="inlineStr">
        <is>
          <t>ÖVERKALIX</t>
        </is>
      </c>
      <c r="F203" t="inlineStr">
        <is>
          <t>SCA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27458-2025</t>
        </is>
      </c>
      <c r="B204" s="1" t="n">
        <v>45813.34540509259</v>
      </c>
      <c r="C204" s="1" t="n">
        <v>45958</v>
      </c>
      <c r="D204" t="inlineStr">
        <is>
          <t>NORRBOTTENS LÄN</t>
        </is>
      </c>
      <c r="E204" t="inlineStr">
        <is>
          <t>ÖVERKALIX</t>
        </is>
      </c>
      <c r="F204" t="inlineStr">
        <is>
          <t>SCA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19531-2024</t>
        </is>
      </c>
      <c r="B205" s="1" t="n">
        <v>45429.64373842593</v>
      </c>
      <c r="C205" s="1" t="n">
        <v>45958</v>
      </c>
      <c r="D205" t="inlineStr">
        <is>
          <t>NORRBOTTENS LÄN</t>
        </is>
      </c>
      <c r="E205" t="inlineStr">
        <is>
          <t>ÖVERKALIX</t>
        </is>
      </c>
      <c r="F205" t="inlineStr">
        <is>
          <t>Sveaskog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27454-2025</t>
        </is>
      </c>
      <c r="B206" s="1" t="n">
        <v>45813.34469907408</v>
      </c>
      <c r="C206" s="1" t="n">
        <v>45958</v>
      </c>
      <c r="D206" t="inlineStr">
        <is>
          <t>NORRBOTTENS LÄN</t>
        </is>
      </c>
      <c r="E206" t="inlineStr">
        <is>
          <t>ÖVERKALIX</t>
        </is>
      </c>
      <c r="F206" t="inlineStr">
        <is>
          <t>SCA</t>
        </is>
      </c>
      <c r="G206" t="n">
        <v>8.699999999999999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27455-2025</t>
        </is>
      </c>
      <c r="B207" s="1" t="n">
        <v>45813.34486111111</v>
      </c>
      <c r="C207" s="1" t="n">
        <v>45958</v>
      </c>
      <c r="D207" t="inlineStr">
        <is>
          <t>NORRBOTTENS LÄN</t>
        </is>
      </c>
      <c r="E207" t="inlineStr">
        <is>
          <t>ÖVERKALIX</t>
        </is>
      </c>
      <c r="F207" t="inlineStr">
        <is>
          <t>SCA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5157-2023</t>
        </is>
      </c>
      <c r="B208" s="1" t="n">
        <v>44958.94056712963</v>
      </c>
      <c r="C208" s="1" t="n">
        <v>45958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SCA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39658-2025</t>
        </is>
      </c>
      <c r="B209" s="1" t="n">
        <v>45890.62925925926</v>
      </c>
      <c r="C209" s="1" t="n">
        <v>45958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Sveaskog</t>
        </is>
      </c>
      <c r="G209" t="n">
        <v>13.4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48501-2022</t>
        </is>
      </c>
      <c r="B210" s="1" t="n">
        <v>44858.92932870371</v>
      </c>
      <c r="C210" s="1" t="n">
        <v>45958</v>
      </c>
      <c r="D210" t="inlineStr">
        <is>
          <t>NORRBOTTENS LÄN</t>
        </is>
      </c>
      <c r="E210" t="inlineStr">
        <is>
          <t>ÖVERKALIX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47735-2024</t>
        </is>
      </c>
      <c r="B211" s="1" t="n">
        <v>45588.51137731481</v>
      </c>
      <c r="C211" s="1" t="n">
        <v>45958</v>
      </c>
      <c r="D211" t="inlineStr">
        <is>
          <t>NORRBOTTENS LÄN</t>
        </is>
      </c>
      <c r="E211" t="inlineStr">
        <is>
          <t>ÖVERKALIX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36805-2024</t>
        </is>
      </c>
      <c r="B212" s="1" t="n">
        <v>45538.4608912037</v>
      </c>
      <c r="C212" s="1" t="n">
        <v>45958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6.6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40660-2024</t>
        </is>
      </c>
      <c r="B213" s="1" t="n">
        <v>45558</v>
      </c>
      <c r="C213" s="1" t="n">
        <v>45958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27949-2025</t>
        </is>
      </c>
      <c r="B214" s="1" t="n">
        <v>45817.52672453703</v>
      </c>
      <c r="C214" s="1" t="n">
        <v>45958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Sveaskog</t>
        </is>
      </c>
      <c r="G214" t="n">
        <v>51.1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30086-2025</t>
        </is>
      </c>
      <c r="B215" s="1" t="n">
        <v>45826.65725694445</v>
      </c>
      <c r="C215" s="1" t="n">
        <v>45958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33939-2025</t>
        </is>
      </c>
      <c r="B216" s="1" t="n">
        <v>45842.63900462963</v>
      </c>
      <c r="C216" s="1" t="n">
        <v>45958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Sveaskog</t>
        </is>
      </c>
      <c r="G216" t="n">
        <v>11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60776-2024</t>
        </is>
      </c>
      <c r="B217" s="1" t="n">
        <v>45644</v>
      </c>
      <c r="C217" s="1" t="n">
        <v>45958</v>
      </c>
      <c r="D217" t="inlineStr">
        <is>
          <t>NORRBOTTENS LÄN</t>
        </is>
      </c>
      <c r="E217" t="inlineStr">
        <is>
          <t>ÖVERKALIX</t>
        </is>
      </c>
      <c r="G217" t="n">
        <v>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43173-2023</t>
        </is>
      </c>
      <c r="B218" s="1" t="n">
        <v>45180</v>
      </c>
      <c r="C218" s="1" t="n">
        <v>45958</v>
      </c>
      <c r="D218" t="inlineStr">
        <is>
          <t>NORRBOTTENS LÄN</t>
        </is>
      </c>
      <c r="E218" t="inlineStr">
        <is>
          <t>ÖVERKALIX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9849-2024</t>
        </is>
      </c>
      <c r="B219" s="1" t="n">
        <v>45363</v>
      </c>
      <c r="C219" s="1" t="n">
        <v>45958</v>
      </c>
      <c r="D219" t="inlineStr">
        <is>
          <t>NORRBOTTENS LÄN</t>
        </is>
      </c>
      <c r="E219" t="inlineStr">
        <is>
          <t>ÖVERKALIX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48667-2025</t>
        </is>
      </c>
      <c r="B220" s="1" t="n">
        <v>45936.57395833333</v>
      </c>
      <c r="C220" s="1" t="n">
        <v>45958</v>
      </c>
      <c r="D220" t="inlineStr">
        <is>
          <t>NORRBOTTENS LÄN</t>
        </is>
      </c>
      <c r="E220" t="inlineStr">
        <is>
          <t>ÖVERKALIX</t>
        </is>
      </c>
      <c r="F220" t="inlineStr">
        <is>
          <t>SCA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5526-2025</t>
        </is>
      </c>
      <c r="B221" s="1" t="n">
        <v>45693.42834490741</v>
      </c>
      <c r="C221" s="1" t="n">
        <v>45958</v>
      </c>
      <c r="D221" t="inlineStr">
        <is>
          <t>NORRBOTTENS LÄN</t>
        </is>
      </c>
      <c r="E221" t="inlineStr">
        <is>
          <t>ÖVERKALIX</t>
        </is>
      </c>
      <c r="F221" t="inlineStr">
        <is>
          <t>SCA</t>
        </is>
      </c>
      <c r="G221" t="n">
        <v>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28343-2025</t>
        </is>
      </c>
      <c r="B222" s="1" t="n">
        <v>45818</v>
      </c>
      <c r="C222" s="1" t="n">
        <v>45958</v>
      </c>
      <c r="D222" t="inlineStr">
        <is>
          <t>NORRBOTTENS LÄN</t>
        </is>
      </c>
      <c r="E222" t="inlineStr">
        <is>
          <t>ÖVERKALIX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28202-2025</t>
        </is>
      </c>
      <c r="B223" s="1" t="n">
        <v>45818.44586805555</v>
      </c>
      <c r="C223" s="1" t="n">
        <v>45958</v>
      </c>
      <c r="D223" t="inlineStr">
        <is>
          <t>NORRBOTTENS LÄN</t>
        </is>
      </c>
      <c r="E223" t="inlineStr">
        <is>
          <t>ÖVERKALIX</t>
        </is>
      </c>
      <c r="G223" t="n">
        <v>5.6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28208-2025</t>
        </is>
      </c>
      <c r="B224" s="1" t="n">
        <v>45818.4499074074</v>
      </c>
      <c r="C224" s="1" t="n">
        <v>45958</v>
      </c>
      <c r="D224" t="inlineStr">
        <is>
          <t>NORRBOTTENS LÄN</t>
        </is>
      </c>
      <c r="E224" t="inlineStr">
        <is>
          <t>ÖVERKALIX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28400-2025</t>
        </is>
      </c>
      <c r="B225" s="1" t="n">
        <v>45819.34449074074</v>
      </c>
      <c r="C225" s="1" t="n">
        <v>45958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SCA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28402-2025</t>
        </is>
      </c>
      <c r="B226" s="1" t="n">
        <v>45819.34493055556</v>
      </c>
      <c r="C226" s="1" t="n">
        <v>45958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SCA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4840-2025</t>
        </is>
      </c>
      <c r="B227" s="1" t="n">
        <v>45688</v>
      </c>
      <c r="C227" s="1" t="n">
        <v>45958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SCA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28372-2025</t>
        </is>
      </c>
      <c r="B228" s="1" t="n">
        <v>45818</v>
      </c>
      <c r="C228" s="1" t="n">
        <v>45958</v>
      </c>
      <c r="D228" t="inlineStr">
        <is>
          <t>NORRBOTTENS LÄN</t>
        </is>
      </c>
      <c r="E228" t="inlineStr">
        <is>
          <t>ÖVERKALIX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29147-2025</t>
        </is>
      </c>
      <c r="B229" s="1" t="n">
        <v>45821.62474537037</v>
      </c>
      <c r="C229" s="1" t="n">
        <v>45958</v>
      </c>
      <c r="D229" t="inlineStr">
        <is>
          <t>NORRBOTTENS LÄN</t>
        </is>
      </c>
      <c r="E229" t="inlineStr">
        <is>
          <t>ÖVERKALIX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72364-2021</t>
        </is>
      </c>
      <c r="B230" s="1" t="n">
        <v>44543</v>
      </c>
      <c r="C230" s="1" t="n">
        <v>45958</v>
      </c>
      <c r="D230" t="inlineStr">
        <is>
          <t>NORRBOTTENS LÄN</t>
        </is>
      </c>
      <c r="E230" t="inlineStr">
        <is>
          <t>ÖVERKALIX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29150-2025</t>
        </is>
      </c>
      <c r="B231" s="1" t="n">
        <v>45821</v>
      </c>
      <c r="C231" s="1" t="n">
        <v>45958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17.2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28912-2025</t>
        </is>
      </c>
      <c r="B232" s="1" t="n">
        <v>45820.65793981482</v>
      </c>
      <c r="C232" s="1" t="n">
        <v>45958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28917-2025</t>
        </is>
      </c>
      <c r="B233" s="1" t="n">
        <v>45820.66358796296</v>
      </c>
      <c r="C233" s="1" t="n">
        <v>45958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28935-2025</t>
        </is>
      </c>
      <c r="B234" s="1" t="n">
        <v>45820.69231481481</v>
      </c>
      <c r="C234" s="1" t="n">
        <v>45958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8.199999999999999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28926-2025</t>
        </is>
      </c>
      <c r="B235" s="1" t="n">
        <v>45820.67159722222</v>
      </c>
      <c r="C235" s="1" t="n">
        <v>45958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9.699999999999999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57870-2022</t>
        </is>
      </c>
      <c r="B236" s="1" t="n">
        <v>44899</v>
      </c>
      <c r="C236" s="1" t="n">
        <v>45958</v>
      </c>
      <c r="D236" t="inlineStr">
        <is>
          <t>NORRBOTTENS LÄN</t>
        </is>
      </c>
      <c r="E236" t="inlineStr">
        <is>
          <t>ÖVERKALIX</t>
        </is>
      </c>
      <c r="G236" t="n">
        <v>6.7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8417-2025</t>
        </is>
      </c>
      <c r="B237" s="1" t="n">
        <v>45709.39804398148</v>
      </c>
      <c r="C237" s="1" t="n">
        <v>45958</v>
      </c>
      <c r="D237" t="inlineStr">
        <is>
          <t>NORRBOTTENS LÄN</t>
        </is>
      </c>
      <c r="E237" t="inlineStr">
        <is>
          <t>ÖVERKALIX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60772-2024</t>
        </is>
      </c>
      <c r="B238" s="1" t="n">
        <v>45644</v>
      </c>
      <c r="C238" s="1" t="n">
        <v>45958</v>
      </c>
      <c r="D238" t="inlineStr">
        <is>
          <t>NORRBOTTENS LÄN</t>
        </is>
      </c>
      <c r="E238" t="inlineStr">
        <is>
          <t>ÖVERKALIX</t>
        </is>
      </c>
      <c r="G238" t="n">
        <v>10.3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29532-2025</t>
        </is>
      </c>
      <c r="B239" s="1" t="n">
        <v>45825.34456018519</v>
      </c>
      <c r="C239" s="1" t="n">
        <v>45958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29464-2025</t>
        </is>
      </c>
      <c r="B240" s="1" t="n">
        <v>45824.69837962963</v>
      </c>
      <c r="C240" s="1" t="n">
        <v>45958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SCA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29463-2025</t>
        </is>
      </c>
      <c r="B241" s="1" t="n">
        <v>45824.69834490741</v>
      </c>
      <c r="C241" s="1" t="n">
        <v>45958</v>
      </c>
      <c r="D241" t="inlineStr">
        <is>
          <t>NORRBOTTENS LÄN</t>
        </is>
      </c>
      <c r="E241" t="inlineStr">
        <is>
          <t>ÖVERKALIX</t>
        </is>
      </c>
      <c r="F241" t="inlineStr">
        <is>
          <t>SCA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37429-2024</t>
        </is>
      </c>
      <c r="B242" s="1" t="n">
        <v>45540</v>
      </c>
      <c r="C242" s="1" t="n">
        <v>45958</v>
      </c>
      <c r="D242" t="inlineStr">
        <is>
          <t>NORRBOTTENS LÄN</t>
        </is>
      </c>
      <c r="E242" t="inlineStr">
        <is>
          <t>ÖVERKALIX</t>
        </is>
      </c>
      <c r="G242" t="n">
        <v>5.3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29212-2025</t>
        </is>
      </c>
      <c r="B243" s="1" t="n">
        <v>45824.28274305556</v>
      </c>
      <c r="C243" s="1" t="n">
        <v>45958</v>
      </c>
      <c r="D243" t="inlineStr">
        <is>
          <t>NORRBOTTENS LÄN</t>
        </is>
      </c>
      <c r="E243" t="inlineStr">
        <is>
          <t>ÖVERKALIX</t>
        </is>
      </c>
      <c r="F243" t="inlineStr">
        <is>
          <t>Sveaskog</t>
        </is>
      </c>
      <c r="G243" t="n">
        <v>24.4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29213-2025</t>
        </is>
      </c>
      <c r="B244" s="1" t="n">
        <v>45824.28693287037</v>
      </c>
      <c r="C244" s="1" t="n">
        <v>45958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Sveaskog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27681-2023</t>
        </is>
      </c>
      <c r="B245" s="1" t="n">
        <v>45097</v>
      </c>
      <c r="C245" s="1" t="n">
        <v>45958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64524-2023</t>
        </is>
      </c>
      <c r="B246" s="1" t="n">
        <v>45281</v>
      </c>
      <c r="C246" s="1" t="n">
        <v>45958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Sveaskog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30099-2025</t>
        </is>
      </c>
      <c r="B247" s="1" t="n">
        <v>45826.67755787037</v>
      </c>
      <c r="C247" s="1" t="n">
        <v>45958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36797-2023</t>
        </is>
      </c>
      <c r="B248" s="1" t="n">
        <v>45154.39217592592</v>
      </c>
      <c r="C248" s="1" t="n">
        <v>45958</v>
      </c>
      <c r="D248" t="inlineStr">
        <is>
          <t>NORRBOTTENS LÄN</t>
        </is>
      </c>
      <c r="E248" t="inlineStr">
        <is>
          <t>ÖVERKALIX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13372-2023</t>
        </is>
      </c>
      <c r="B249" s="1" t="n">
        <v>45005.48414351852</v>
      </c>
      <c r="C249" s="1" t="n">
        <v>45958</v>
      </c>
      <c r="D249" t="inlineStr">
        <is>
          <t>NORRBOTTENS LÄN</t>
        </is>
      </c>
      <c r="E249" t="inlineStr">
        <is>
          <t>ÖVERKALIX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60463-2024</t>
        </is>
      </c>
      <c r="B250" s="1" t="n">
        <v>45643.61626157408</v>
      </c>
      <c r="C250" s="1" t="n">
        <v>45958</v>
      </c>
      <c r="D250" t="inlineStr">
        <is>
          <t>NORRBOTTENS LÄN</t>
        </is>
      </c>
      <c r="E250" t="inlineStr">
        <is>
          <t>ÖVERKALIX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30038-2025</t>
        </is>
      </c>
      <c r="B251" s="1" t="n">
        <v>45826.57212962963</v>
      </c>
      <c r="C251" s="1" t="n">
        <v>45958</v>
      </c>
      <c r="D251" t="inlineStr">
        <is>
          <t>NORRBOTTENS LÄN</t>
        </is>
      </c>
      <c r="E251" t="inlineStr">
        <is>
          <t>ÖVERKALIX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48221-2025</t>
        </is>
      </c>
      <c r="B252" s="1" t="n">
        <v>45933</v>
      </c>
      <c r="C252" s="1" t="n">
        <v>45958</v>
      </c>
      <c r="D252" t="inlineStr">
        <is>
          <t>NORRBOTTENS LÄN</t>
        </is>
      </c>
      <c r="E252" t="inlineStr">
        <is>
          <t>ÖVERKALIX</t>
        </is>
      </c>
      <c r="F252" t="inlineStr">
        <is>
          <t>Sveaskog</t>
        </is>
      </c>
      <c r="G252" t="n">
        <v>11.8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42119-2024</t>
        </is>
      </c>
      <c r="B253" s="1" t="n">
        <v>45562.3905787037</v>
      </c>
      <c r="C253" s="1" t="n">
        <v>45958</v>
      </c>
      <c r="D253" t="inlineStr">
        <is>
          <t>NORRBOTTENS LÄN</t>
        </is>
      </c>
      <c r="E253" t="inlineStr">
        <is>
          <t>ÖVERKALIX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19541-2024</t>
        </is>
      </c>
      <c r="B254" s="1" t="n">
        <v>45429</v>
      </c>
      <c r="C254" s="1" t="n">
        <v>45958</v>
      </c>
      <c r="D254" t="inlineStr">
        <is>
          <t>NORRBOTTENS LÄN</t>
        </is>
      </c>
      <c r="E254" t="inlineStr">
        <is>
          <t>ÖVERKALIX</t>
        </is>
      </c>
      <c r="F254" t="inlineStr">
        <is>
          <t>Sveaskog</t>
        </is>
      </c>
      <c r="G254" t="n">
        <v>22.7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11535-2024</t>
        </is>
      </c>
      <c r="B255" s="1" t="n">
        <v>45372.92877314815</v>
      </c>
      <c r="C255" s="1" t="n">
        <v>45958</v>
      </c>
      <c r="D255" t="inlineStr">
        <is>
          <t>NORRBOTTENS LÄN</t>
        </is>
      </c>
      <c r="E255" t="inlineStr">
        <is>
          <t>ÖVERKALIX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30257-2025</t>
        </is>
      </c>
      <c r="B256" s="1" t="n">
        <v>45827.42748842593</v>
      </c>
      <c r="C256" s="1" t="n">
        <v>45958</v>
      </c>
      <c r="D256" t="inlineStr">
        <is>
          <t>NORRBOTTENS LÄN</t>
        </is>
      </c>
      <c r="E256" t="inlineStr">
        <is>
          <t>ÖVERKALIX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51525-2024</t>
        </is>
      </c>
      <c r="B257" s="1" t="n">
        <v>45604</v>
      </c>
      <c r="C257" s="1" t="n">
        <v>45958</v>
      </c>
      <c r="D257" t="inlineStr">
        <is>
          <t>NORRBOTTENS LÄN</t>
        </is>
      </c>
      <c r="E257" t="inlineStr">
        <is>
          <t>ÖVERKALIX</t>
        </is>
      </c>
      <c r="F257" t="inlineStr">
        <is>
          <t>SCA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30980-2025</t>
        </is>
      </c>
      <c r="B258" s="1" t="n">
        <v>45831</v>
      </c>
      <c r="C258" s="1" t="n">
        <v>45958</v>
      </c>
      <c r="D258" t="inlineStr">
        <is>
          <t>NORRBOTTENS LÄN</t>
        </is>
      </c>
      <c r="E258" t="inlineStr">
        <is>
          <t>ÖVERKALIX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30987-2025</t>
        </is>
      </c>
      <c r="B259" s="1" t="n">
        <v>45831</v>
      </c>
      <c r="C259" s="1" t="n">
        <v>45958</v>
      </c>
      <c r="D259" t="inlineStr">
        <is>
          <t>NORRBOTTENS LÄN</t>
        </is>
      </c>
      <c r="E259" t="inlineStr">
        <is>
          <t>ÖVERKALIX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50045-2025</t>
        </is>
      </c>
      <c r="B260" s="1" t="n">
        <v>45943.40819444445</v>
      </c>
      <c r="C260" s="1" t="n">
        <v>45958</v>
      </c>
      <c r="D260" t="inlineStr">
        <is>
          <t>NORRBOTTENS LÄN</t>
        </is>
      </c>
      <c r="E260" t="inlineStr">
        <is>
          <t>ÖVERKALIX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31009-2025</t>
        </is>
      </c>
      <c r="B261" s="1" t="n">
        <v>45831</v>
      </c>
      <c r="C261" s="1" t="n">
        <v>45958</v>
      </c>
      <c r="D261" t="inlineStr">
        <is>
          <t>NORRBOTTENS LÄN</t>
        </is>
      </c>
      <c r="E261" t="inlineStr">
        <is>
          <t>ÖVERKALIX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30985-2025</t>
        </is>
      </c>
      <c r="B262" s="1" t="n">
        <v>45831</v>
      </c>
      <c r="C262" s="1" t="n">
        <v>45958</v>
      </c>
      <c r="D262" t="inlineStr">
        <is>
          <t>NORRBOTTENS LÄN</t>
        </is>
      </c>
      <c r="E262" t="inlineStr">
        <is>
          <t>ÖVERKALIX</t>
        </is>
      </c>
      <c r="G262" t="n">
        <v>11.7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49608-2025</t>
        </is>
      </c>
      <c r="B263" s="1" t="n">
        <v>45939</v>
      </c>
      <c r="C263" s="1" t="n">
        <v>45958</v>
      </c>
      <c r="D263" t="inlineStr">
        <is>
          <t>NORRBOTTENS LÄN</t>
        </is>
      </c>
      <c r="E263" t="inlineStr">
        <is>
          <t>ÖVERKALIX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19984-2025</t>
        </is>
      </c>
      <c r="B264" s="1" t="n">
        <v>45771.71935185185</v>
      </c>
      <c r="C264" s="1" t="n">
        <v>45958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30776-2025</t>
        </is>
      </c>
      <c r="B265" s="1" t="n">
        <v>45831.61511574074</v>
      </c>
      <c r="C265" s="1" t="n">
        <v>45958</v>
      </c>
      <c r="D265" t="inlineStr">
        <is>
          <t>NORRBOTTENS LÄN</t>
        </is>
      </c>
      <c r="E265" t="inlineStr">
        <is>
          <t>ÖVERKALIX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49612-2025</t>
        </is>
      </c>
      <c r="B266" s="1" t="n">
        <v>45939</v>
      </c>
      <c r="C266" s="1" t="n">
        <v>45958</v>
      </c>
      <c r="D266" t="inlineStr">
        <is>
          <t>NORRBOTTENS LÄN</t>
        </is>
      </c>
      <c r="E266" t="inlineStr">
        <is>
          <t>ÖVERKALIX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55857-2024</t>
        </is>
      </c>
      <c r="B267" s="1" t="n">
        <v>45622</v>
      </c>
      <c r="C267" s="1" t="n">
        <v>45958</v>
      </c>
      <c r="D267" t="inlineStr">
        <is>
          <t>NORRBOTTENS LÄN</t>
        </is>
      </c>
      <c r="E267" t="inlineStr">
        <is>
          <t>ÖVERKALIX</t>
        </is>
      </c>
      <c r="G267" t="n">
        <v>5.7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30990-2025</t>
        </is>
      </c>
      <c r="B268" s="1" t="n">
        <v>45831</v>
      </c>
      <c r="C268" s="1" t="n">
        <v>45958</v>
      </c>
      <c r="D268" t="inlineStr">
        <is>
          <t>NORRBOTTENS LÄN</t>
        </is>
      </c>
      <c r="E268" t="inlineStr">
        <is>
          <t>ÖVERKALIX</t>
        </is>
      </c>
      <c r="G268" t="n">
        <v>6.5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30992-2025</t>
        </is>
      </c>
      <c r="B269" s="1" t="n">
        <v>45831</v>
      </c>
      <c r="C269" s="1" t="n">
        <v>45958</v>
      </c>
      <c r="D269" t="inlineStr">
        <is>
          <t>NORRBOTTENS LÄN</t>
        </is>
      </c>
      <c r="E269" t="inlineStr">
        <is>
          <t>ÖVERKALIX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26535-2025</t>
        </is>
      </c>
      <c r="B270" s="1" t="n">
        <v>45807.57351851852</v>
      </c>
      <c r="C270" s="1" t="n">
        <v>45958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Sveaskog</t>
        </is>
      </c>
      <c r="G270" t="n">
        <v>37.4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5385-2025</t>
        </is>
      </c>
      <c r="B271" s="1" t="n">
        <v>45692</v>
      </c>
      <c r="C271" s="1" t="n">
        <v>45958</v>
      </c>
      <c r="D271" t="inlineStr">
        <is>
          <t>NORRBOTTENS LÄN</t>
        </is>
      </c>
      <c r="E271" t="inlineStr">
        <is>
          <t>ÖVERKALIX</t>
        </is>
      </c>
      <c r="G271" t="n">
        <v>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13465-2022</t>
        </is>
      </c>
      <c r="B272" s="1" t="n">
        <v>44645</v>
      </c>
      <c r="C272" s="1" t="n">
        <v>45958</v>
      </c>
      <c r="D272" t="inlineStr">
        <is>
          <t>NORRBOTTENS LÄN</t>
        </is>
      </c>
      <c r="E272" t="inlineStr">
        <is>
          <t>ÖVERKALIX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23302-2023</t>
        </is>
      </c>
      <c r="B273" s="1" t="n">
        <v>45075</v>
      </c>
      <c r="C273" s="1" t="n">
        <v>45958</v>
      </c>
      <c r="D273" t="inlineStr">
        <is>
          <t>NORRBOTTENS LÄN</t>
        </is>
      </c>
      <c r="E273" t="inlineStr">
        <is>
          <t>ÖVERKALIX</t>
        </is>
      </c>
      <c r="F273" t="inlineStr">
        <is>
          <t>SCA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49614-2025</t>
        </is>
      </c>
      <c r="B274" s="1" t="n">
        <v>45939</v>
      </c>
      <c r="C274" s="1" t="n">
        <v>45958</v>
      </c>
      <c r="D274" t="inlineStr">
        <is>
          <t>NORRBOTTENS LÄN</t>
        </is>
      </c>
      <c r="E274" t="inlineStr">
        <is>
          <t>ÖVERKALIX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50054-2025</t>
        </is>
      </c>
      <c r="B275" s="1" t="n">
        <v>45943.43152777778</v>
      </c>
      <c r="C275" s="1" t="n">
        <v>45958</v>
      </c>
      <c r="D275" t="inlineStr">
        <is>
          <t>NORRBOTTENS LÄN</t>
        </is>
      </c>
      <c r="E275" t="inlineStr">
        <is>
          <t>ÖVERKALIX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31961-2025</t>
        </is>
      </c>
      <c r="B276" s="1" t="n">
        <v>45835.34453703704</v>
      </c>
      <c r="C276" s="1" t="n">
        <v>45958</v>
      </c>
      <c r="D276" t="inlineStr">
        <is>
          <t>NORRBOTTENS LÄN</t>
        </is>
      </c>
      <c r="E276" t="inlineStr">
        <is>
          <t>ÖVERKALIX</t>
        </is>
      </c>
      <c r="F276" t="inlineStr">
        <is>
          <t>SCA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49756-2025</t>
        </is>
      </c>
      <c r="B277" s="1" t="n">
        <v>45940.34579861111</v>
      </c>
      <c r="C277" s="1" t="n">
        <v>45958</v>
      </c>
      <c r="D277" t="inlineStr">
        <is>
          <t>NORRBOTTENS LÄN</t>
        </is>
      </c>
      <c r="E277" t="inlineStr">
        <is>
          <t>ÖVERKALIX</t>
        </is>
      </c>
      <c r="F277" t="inlineStr">
        <is>
          <t>SCA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52154-2024</t>
        </is>
      </c>
      <c r="B278" s="1" t="n">
        <v>45608</v>
      </c>
      <c r="C278" s="1" t="n">
        <v>45958</v>
      </c>
      <c r="D278" t="inlineStr">
        <is>
          <t>NORRBOTTENS LÄN</t>
        </is>
      </c>
      <c r="E278" t="inlineStr">
        <is>
          <t>ÖVERKALIX</t>
        </is>
      </c>
      <c r="F278" t="inlineStr">
        <is>
          <t>SCA</t>
        </is>
      </c>
      <c r="G278" t="n">
        <v>6.1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32173-2025</t>
        </is>
      </c>
      <c r="B279" s="1" t="n">
        <v>45835.55337962963</v>
      </c>
      <c r="C279" s="1" t="n">
        <v>45958</v>
      </c>
      <c r="D279" t="inlineStr">
        <is>
          <t>NORRBOTTENS LÄN</t>
        </is>
      </c>
      <c r="E279" t="inlineStr">
        <is>
          <t>ÖVERKALIX</t>
        </is>
      </c>
      <c r="F279" t="inlineStr">
        <is>
          <t>Sveaskog</t>
        </is>
      </c>
      <c r="G279" t="n">
        <v>16.3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31640-2025</t>
        </is>
      </c>
      <c r="B280" s="1" t="n">
        <v>45834.34450231482</v>
      </c>
      <c r="C280" s="1" t="n">
        <v>45958</v>
      </c>
      <c r="D280" t="inlineStr">
        <is>
          <t>NORRBOTTENS LÄN</t>
        </is>
      </c>
      <c r="E280" t="inlineStr">
        <is>
          <t>ÖVERKALIX</t>
        </is>
      </c>
      <c r="F280" t="inlineStr">
        <is>
          <t>SCA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32175-2025</t>
        </is>
      </c>
      <c r="B281" s="1" t="n">
        <v>45835.55673611111</v>
      </c>
      <c r="C281" s="1" t="n">
        <v>45958</v>
      </c>
      <c r="D281" t="inlineStr">
        <is>
          <t>NORRBOTTENS LÄN</t>
        </is>
      </c>
      <c r="E281" t="inlineStr">
        <is>
          <t>ÖVERKALIX</t>
        </is>
      </c>
      <c r="F281" t="inlineStr">
        <is>
          <t>Sveaskog</t>
        </is>
      </c>
      <c r="G281" t="n">
        <v>19.6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31751-2025</t>
        </is>
      </c>
      <c r="B282" s="1" t="n">
        <v>45834</v>
      </c>
      <c r="C282" s="1" t="n">
        <v>45958</v>
      </c>
      <c r="D282" t="inlineStr">
        <is>
          <t>NORRBOTTENS LÄN</t>
        </is>
      </c>
      <c r="E282" t="inlineStr">
        <is>
          <t>ÖVERKALIX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6810-2025</t>
        </is>
      </c>
      <c r="B283" s="1" t="n">
        <v>45700</v>
      </c>
      <c r="C283" s="1" t="n">
        <v>45958</v>
      </c>
      <c r="D283" t="inlineStr">
        <is>
          <t>NORRBOTTENS LÄN</t>
        </is>
      </c>
      <c r="E283" t="inlineStr">
        <is>
          <t>ÖVERKALIX</t>
        </is>
      </c>
      <c r="G283" t="n">
        <v>10.7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55329-2024</t>
        </is>
      </c>
      <c r="B284" s="1" t="n">
        <v>45621.67932870371</v>
      </c>
      <c r="C284" s="1" t="n">
        <v>45958</v>
      </c>
      <c r="D284" t="inlineStr">
        <is>
          <t>NORRBOTTENS LÄN</t>
        </is>
      </c>
      <c r="E284" t="inlineStr">
        <is>
          <t>ÖVERKALIX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25506-2024</t>
        </is>
      </c>
      <c r="B285" s="1" t="n">
        <v>45463</v>
      </c>
      <c r="C285" s="1" t="n">
        <v>45958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Sveaskog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31645-2025</t>
        </is>
      </c>
      <c r="B286" s="1" t="n">
        <v>45834.34546296296</v>
      </c>
      <c r="C286" s="1" t="n">
        <v>45958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17.4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25692-2024</t>
        </is>
      </c>
      <c r="B287" s="1" t="n">
        <v>45463.94173611111</v>
      </c>
      <c r="C287" s="1" t="n">
        <v>45958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31744-2025</t>
        </is>
      </c>
      <c r="B288" s="1" t="n">
        <v>45834</v>
      </c>
      <c r="C288" s="1" t="n">
        <v>45958</v>
      </c>
      <c r="D288" t="inlineStr">
        <is>
          <t>NORRBOTTENS LÄN</t>
        </is>
      </c>
      <c r="E288" t="inlineStr">
        <is>
          <t>ÖVERKALIX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23067-2021</t>
        </is>
      </c>
      <c r="B289" s="1" t="n">
        <v>44329.94148148148</v>
      </c>
      <c r="C289" s="1" t="n">
        <v>45958</v>
      </c>
      <c r="D289" t="inlineStr">
        <is>
          <t>NORRBOTTENS LÄN</t>
        </is>
      </c>
      <c r="E289" t="inlineStr">
        <is>
          <t>ÖVERKALIX</t>
        </is>
      </c>
      <c r="G289" t="n">
        <v>10.9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32067-2025</t>
        </is>
      </c>
      <c r="B290" s="1" t="n">
        <v>45835.44841435185</v>
      </c>
      <c r="C290" s="1" t="n">
        <v>45958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SCA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32892-2025</t>
        </is>
      </c>
      <c r="B291" s="1" t="n">
        <v>45839.60887731481</v>
      </c>
      <c r="C291" s="1" t="n">
        <v>45958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Sveaskog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24738-2024</t>
        </is>
      </c>
      <c r="B292" s="1" t="n">
        <v>45460</v>
      </c>
      <c r="C292" s="1" t="n">
        <v>45958</v>
      </c>
      <c r="D292" t="inlineStr">
        <is>
          <t>NORRBOTTENS LÄN</t>
        </is>
      </c>
      <c r="E292" t="inlineStr">
        <is>
          <t>ÖVERKALIX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550-2023</t>
        </is>
      </c>
      <c r="B293" s="1" t="n">
        <v>44930</v>
      </c>
      <c r="C293" s="1" t="n">
        <v>45958</v>
      </c>
      <c r="D293" t="inlineStr">
        <is>
          <t>NORRBOTTENS LÄN</t>
        </is>
      </c>
      <c r="E293" t="inlineStr">
        <is>
          <t>ÖVERKALIX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32634-2025</t>
        </is>
      </c>
      <c r="B294" s="1" t="n">
        <v>45838.65694444445</v>
      </c>
      <c r="C294" s="1" t="n">
        <v>45958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32636-2025</t>
        </is>
      </c>
      <c r="B295" s="1" t="n">
        <v>45838.65704861111</v>
      </c>
      <c r="C295" s="1" t="n">
        <v>45958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SCA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32371-2025</t>
        </is>
      </c>
      <c r="B296" s="1" t="n">
        <v>45837.68739583333</v>
      </c>
      <c r="C296" s="1" t="n">
        <v>45958</v>
      </c>
      <c r="D296" t="inlineStr">
        <is>
          <t>NORRBOTTENS LÄN</t>
        </is>
      </c>
      <c r="E296" t="inlineStr">
        <is>
          <t>ÖVERKALIX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32708-2025</t>
        </is>
      </c>
      <c r="B297" s="1" t="n">
        <v>45839.36539351852</v>
      </c>
      <c r="C297" s="1" t="n">
        <v>45958</v>
      </c>
      <c r="D297" t="inlineStr">
        <is>
          <t>NORRBOTTENS LÄN</t>
        </is>
      </c>
      <c r="E297" t="inlineStr">
        <is>
          <t>ÖVERKALIX</t>
        </is>
      </c>
      <c r="F297" t="inlineStr">
        <is>
          <t>Sveaskog</t>
        </is>
      </c>
      <c r="G297" t="n">
        <v>9.199999999999999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32535-2025</t>
        </is>
      </c>
      <c r="B298" s="1" t="n">
        <v>45838.49375</v>
      </c>
      <c r="C298" s="1" t="n">
        <v>45958</v>
      </c>
      <c r="D298" t="inlineStr">
        <is>
          <t>NORRBOTTENS LÄN</t>
        </is>
      </c>
      <c r="E298" t="inlineStr">
        <is>
          <t>ÖVERKALIX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32715-2025</t>
        </is>
      </c>
      <c r="B299" s="1" t="n">
        <v>45839.37099537037</v>
      </c>
      <c r="C299" s="1" t="n">
        <v>45958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Sveaskog</t>
        </is>
      </c>
      <c r="G299" t="n">
        <v>24.5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32370-2025</t>
        </is>
      </c>
      <c r="B300" s="1" t="n">
        <v>45837.67564814815</v>
      </c>
      <c r="C300" s="1" t="n">
        <v>45958</v>
      </c>
      <c r="D300" t="inlineStr">
        <is>
          <t>NORRBOTTENS LÄN</t>
        </is>
      </c>
      <c r="E300" t="inlineStr">
        <is>
          <t>ÖVERKALIX</t>
        </is>
      </c>
      <c r="G300" t="n">
        <v>9.800000000000001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34911-2023</t>
        </is>
      </c>
      <c r="B301" s="1" t="n">
        <v>45141</v>
      </c>
      <c r="C301" s="1" t="n">
        <v>45958</v>
      </c>
      <c r="D301" t="inlineStr">
        <is>
          <t>NORRBOTTENS LÄN</t>
        </is>
      </c>
      <c r="E301" t="inlineStr">
        <is>
          <t>ÖVERKALIX</t>
        </is>
      </c>
      <c r="G301" t="n">
        <v>8.6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32377-2025</t>
        </is>
      </c>
      <c r="B302" s="1" t="n">
        <v>45837.7256712963</v>
      </c>
      <c r="C302" s="1" t="n">
        <v>45958</v>
      </c>
      <c r="D302" t="inlineStr">
        <is>
          <t>NORRBOTTENS LÄN</t>
        </is>
      </c>
      <c r="E302" t="inlineStr">
        <is>
          <t>ÖVERKALIX</t>
        </is>
      </c>
      <c r="G302" t="n">
        <v>8.5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50720-2025</t>
        </is>
      </c>
      <c r="B303" s="1" t="n">
        <v>45946</v>
      </c>
      <c r="C303" s="1" t="n">
        <v>45958</v>
      </c>
      <c r="D303" t="inlineStr">
        <is>
          <t>NORRBOTTENS LÄN</t>
        </is>
      </c>
      <c r="E303" t="inlineStr">
        <is>
          <t>ÖVERKALIX</t>
        </is>
      </c>
      <c r="F303" t="inlineStr">
        <is>
          <t>SCA</t>
        </is>
      </c>
      <c r="G303" t="n">
        <v>5.4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60786-2024</t>
        </is>
      </c>
      <c r="B304" s="1" t="n">
        <v>45644</v>
      </c>
      <c r="C304" s="1" t="n">
        <v>45958</v>
      </c>
      <c r="D304" t="inlineStr">
        <is>
          <t>NORRBOTTENS LÄN</t>
        </is>
      </c>
      <c r="E304" t="inlineStr">
        <is>
          <t>ÖVERKALIX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50392-2025</t>
        </is>
      </c>
      <c r="B305" s="1" t="n">
        <v>45944.61768518519</v>
      </c>
      <c r="C305" s="1" t="n">
        <v>45958</v>
      </c>
      <c r="D305" t="inlineStr">
        <is>
          <t>NORRBOTTENS LÄN</t>
        </is>
      </c>
      <c r="E305" t="inlineStr">
        <is>
          <t>ÖVERKALIX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50983-2025</t>
        </is>
      </c>
      <c r="B306" s="1" t="n">
        <v>45947.34490740741</v>
      </c>
      <c r="C306" s="1" t="n">
        <v>45958</v>
      </c>
      <c r="D306" t="inlineStr">
        <is>
          <t>NORRBOTTENS LÄN</t>
        </is>
      </c>
      <c r="E306" t="inlineStr">
        <is>
          <t>ÖVERKALIX</t>
        </is>
      </c>
      <c r="F306" t="inlineStr">
        <is>
          <t>SCA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50992-2025</t>
        </is>
      </c>
      <c r="B307" s="1" t="n">
        <v>45947.34668981482</v>
      </c>
      <c r="C307" s="1" t="n">
        <v>45958</v>
      </c>
      <c r="D307" t="inlineStr">
        <is>
          <t>NORRBOTTENS LÄN</t>
        </is>
      </c>
      <c r="E307" t="inlineStr">
        <is>
          <t>ÖVERKALIX</t>
        </is>
      </c>
      <c r="F307" t="inlineStr">
        <is>
          <t>SCA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42282-2025</t>
        </is>
      </c>
      <c r="B308" s="1" t="n">
        <v>45904.61815972222</v>
      </c>
      <c r="C308" s="1" t="n">
        <v>45958</v>
      </c>
      <c r="D308" t="inlineStr">
        <is>
          <t>NORRBOTTENS LÄN</t>
        </is>
      </c>
      <c r="E308" t="inlineStr">
        <is>
          <t>ÖVERKALIX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72623-2021</t>
        </is>
      </c>
      <c r="B309" s="1" t="n">
        <v>44546</v>
      </c>
      <c r="C309" s="1" t="n">
        <v>45958</v>
      </c>
      <c r="D309" t="inlineStr">
        <is>
          <t>NORRBOTTENS LÄN</t>
        </is>
      </c>
      <c r="E309" t="inlineStr">
        <is>
          <t>ÖVERKALIX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33266-2025</t>
        </is>
      </c>
      <c r="B310" s="1" t="n">
        <v>45840.67837962963</v>
      </c>
      <c r="C310" s="1" t="n">
        <v>45958</v>
      </c>
      <c r="D310" t="inlineStr">
        <is>
          <t>NORRBOTTENS LÄN</t>
        </is>
      </c>
      <c r="E310" t="inlineStr">
        <is>
          <t>ÖVERKALIX</t>
        </is>
      </c>
      <c r="F310" t="inlineStr">
        <is>
          <t>SCA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23249-2024</t>
        </is>
      </c>
      <c r="B311" s="1" t="n">
        <v>45453.35445601852</v>
      </c>
      <c r="C311" s="1" t="n">
        <v>45958</v>
      </c>
      <c r="D311" t="inlineStr">
        <is>
          <t>NORRBOTTENS LÄN</t>
        </is>
      </c>
      <c r="E311" t="inlineStr">
        <is>
          <t>ÖVERKALIX</t>
        </is>
      </c>
      <c r="F311" t="inlineStr">
        <is>
          <t>Sveaskog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33224-2025</t>
        </is>
      </c>
      <c r="B312" s="1" t="n">
        <v>45840.63581018519</v>
      </c>
      <c r="C312" s="1" t="n">
        <v>45958</v>
      </c>
      <c r="D312" t="inlineStr">
        <is>
          <t>NORRBOTTENS LÄN</t>
        </is>
      </c>
      <c r="E312" t="inlineStr">
        <is>
          <t>ÖVERKALIX</t>
        </is>
      </c>
      <c r="F312" t="inlineStr">
        <is>
          <t>SCA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42486-2025</t>
        </is>
      </c>
      <c r="B313" s="1" t="n">
        <v>45904</v>
      </c>
      <c r="C313" s="1" t="n">
        <v>45958</v>
      </c>
      <c r="D313" t="inlineStr">
        <is>
          <t>NORRBOTTENS LÄN</t>
        </is>
      </c>
      <c r="E313" t="inlineStr">
        <is>
          <t>ÖVERKALIX</t>
        </is>
      </c>
      <c r="G313" t="n">
        <v>6.3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38940-2024</t>
        </is>
      </c>
      <c r="B314" s="1" t="n">
        <v>45548</v>
      </c>
      <c r="C314" s="1" t="n">
        <v>45958</v>
      </c>
      <c r="D314" t="inlineStr">
        <is>
          <t>NORRBOTTENS LÄN</t>
        </is>
      </c>
      <c r="E314" t="inlineStr">
        <is>
          <t>ÖVERKALIX</t>
        </is>
      </c>
      <c r="F314" t="inlineStr">
        <is>
          <t>SCA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34128-2025</t>
        </is>
      </c>
      <c r="B315" s="1" t="n">
        <v>45845.53149305555</v>
      </c>
      <c r="C315" s="1" t="n">
        <v>45958</v>
      </c>
      <c r="D315" t="inlineStr">
        <is>
          <t>NORRBOTTENS LÄN</t>
        </is>
      </c>
      <c r="E315" t="inlineStr">
        <is>
          <t>ÖVERKALIX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50053-2025</t>
        </is>
      </c>
      <c r="B316" s="1" t="n">
        <v>45943</v>
      </c>
      <c r="C316" s="1" t="n">
        <v>45958</v>
      </c>
      <c r="D316" t="inlineStr">
        <is>
          <t>NORRBOTTENS LÄN</t>
        </is>
      </c>
      <c r="E316" t="inlineStr">
        <is>
          <t>ÖVERKALIX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3242-2025</t>
        </is>
      </c>
      <c r="B317" s="1" t="n">
        <v>45679.50635416667</v>
      </c>
      <c r="C317" s="1" t="n">
        <v>45958</v>
      </c>
      <c r="D317" t="inlineStr">
        <is>
          <t>NORRBOTTENS LÄN</t>
        </is>
      </c>
      <c r="E317" t="inlineStr">
        <is>
          <t>ÖVERKALIX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59183-2024</t>
        </is>
      </c>
      <c r="B318" s="1" t="n">
        <v>45637.52493055556</v>
      </c>
      <c r="C318" s="1" t="n">
        <v>45958</v>
      </c>
      <c r="D318" t="inlineStr">
        <is>
          <t>NORRBOTTENS LÄN</t>
        </is>
      </c>
      <c r="E318" t="inlineStr">
        <is>
          <t>ÖVERKALIX</t>
        </is>
      </c>
      <c r="G318" t="n">
        <v>16.9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30598-2024</t>
        </is>
      </c>
      <c r="B319" s="1" t="n">
        <v>45493.43340277778</v>
      </c>
      <c r="C319" s="1" t="n">
        <v>45958</v>
      </c>
      <c r="D319" t="inlineStr">
        <is>
          <t>NORRBOTTENS LÄN</t>
        </is>
      </c>
      <c r="E319" t="inlineStr">
        <is>
          <t>ÖVERKALIX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43066-2025</t>
        </is>
      </c>
      <c r="B320" s="1" t="n">
        <v>45909.59103009259</v>
      </c>
      <c r="C320" s="1" t="n">
        <v>45958</v>
      </c>
      <c r="D320" t="inlineStr">
        <is>
          <t>NORRBOTTENS LÄN</t>
        </is>
      </c>
      <c r="E320" t="inlineStr">
        <is>
          <t>ÖVERKALIX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43065-2025</t>
        </is>
      </c>
      <c r="B321" s="1" t="n">
        <v>45909.58847222223</v>
      </c>
      <c r="C321" s="1" t="n">
        <v>45958</v>
      </c>
      <c r="D321" t="inlineStr">
        <is>
          <t>NORRBOTTENS LÄN</t>
        </is>
      </c>
      <c r="E321" t="inlineStr">
        <is>
          <t>ÖVERKALIX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30998-2025</t>
        </is>
      </c>
      <c r="B322" s="1" t="n">
        <v>45831</v>
      </c>
      <c r="C322" s="1" t="n">
        <v>45958</v>
      </c>
      <c r="D322" t="inlineStr">
        <is>
          <t>NORRBOTTENS LÄN</t>
        </is>
      </c>
      <c r="E322" t="inlineStr">
        <is>
          <t>ÖVERKALIX</t>
        </is>
      </c>
      <c r="G322" t="n">
        <v>17.1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51656-2025</t>
        </is>
      </c>
      <c r="B323" s="1" t="n">
        <v>45951.46915509259</v>
      </c>
      <c r="C323" s="1" t="n">
        <v>45958</v>
      </c>
      <c r="D323" t="inlineStr">
        <is>
          <t>NORRBOTTENS LÄN</t>
        </is>
      </c>
      <c r="E323" t="inlineStr">
        <is>
          <t>ÖVERKALIX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11915-2023</t>
        </is>
      </c>
      <c r="B324" s="1" t="n">
        <v>44993</v>
      </c>
      <c r="C324" s="1" t="n">
        <v>45958</v>
      </c>
      <c r="D324" t="inlineStr">
        <is>
          <t>NORRBOTTENS LÄN</t>
        </is>
      </c>
      <c r="E324" t="inlineStr">
        <is>
          <t>ÖVERKALIX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32615-2024</t>
        </is>
      </c>
      <c r="B325" s="1" t="n">
        <v>45513</v>
      </c>
      <c r="C325" s="1" t="n">
        <v>45958</v>
      </c>
      <c r="D325" t="inlineStr">
        <is>
          <t>NORRBOTTENS LÄN</t>
        </is>
      </c>
      <c r="E325" t="inlineStr">
        <is>
          <t>ÖVERKALIX</t>
        </is>
      </c>
      <c r="F325" t="inlineStr">
        <is>
          <t>Sveaskog</t>
        </is>
      </c>
      <c r="G325" t="n">
        <v>9.800000000000001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51354-2025</t>
        </is>
      </c>
      <c r="B326" s="1" t="n">
        <v>45950.44028935185</v>
      </c>
      <c r="C326" s="1" t="n">
        <v>45958</v>
      </c>
      <c r="D326" t="inlineStr">
        <is>
          <t>NORRBOTTENS LÄN</t>
        </is>
      </c>
      <c r="E326" t="inlineStr">
        <is>
          <t>ÖVERKALIX</t>
        </is>
      </c>
      <c r="G326" t="n">
        <v>8.199999999999999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30957-2025</t>
        </is>
      </c>
      <c r="B327" s="1" t="n">
        <v>45831</v>
      </c>
      <c r="C327" s="1" t="n">
        <v>45958</v>
      </c>
      <c r="D327" t="inlineStr">
        <is>
          <t>NORRBOTTENS LÄN</t>
        </is>
      </c>
      <c r="E327" t="inlineStr">
        <is>
          <t>ÖVERKALIX</t>
        </is>
      </c>
      <c r="G327" t="n">
        <v>41.8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30993-2025</t>
        </is>
      </c>
      <c r="B328" s="1" t="n">
        <v>45831</v>
      </c>
      <c r="C328" s="1" t="n">
        <v>45958</v>
      </c>
      <c r="D328" t="inlineStr">
        <is>
          <t>NORRBOTTENS LÄN</t>
        </is>
      </c>
      <c r="E328" t="inlineStr">
        <is>
          <t>ÖVERKALIX</t>
        </is>
      </c>
      <c r="G328" t="n">
        <v>7.2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40619-2022</t>
        </is>
      </c>
      <c r="B329" s="1" t="n">
        <v>44823</v>
      </c>
      <c r="C329" s="1" t="n">
        <v>45958</v>
      </c>
      <c r="D329" t="inlineStr">
        <is>
          <t>NORRBOTTENS LÄN</t>
        </is>
      </c>
      <c r="E329" t="inlineStr">
        <is>
          <t>ÖVERKALIX</t>
        </is>
      </c>
      <c r="F329" t="inlineStr">
        <is>
          <t>SCA</t>
        </is>
      </c>
      <c r="G329" t="n">
        <v>8.300000000000001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51257-2025</t>
        </is>
      </c>
      <c r="B330" s="1" t="n">
        <v>45949.42743055556</v>
      </c>
      <c r="C330" s="1" t="n">
        <v>45958</v>
      </c>
      <c r="D330" t="inlineStr">
        <is>
          <t>NORRBOTTENS LÄN</t>
        </is>
      </c>
      <c r="E330" t="inlineStr">
        <is>
          <t>ÖVERKALIX</t>
        </is>
      </c>
      <c r="F330" t="inlineStr">
        <is>
          <t>SCA</t>
        </is>
      </c>
      <c r="G330" t="n">
        <v>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43042-2025</t>
        </is>
      </c>
      <c r="B331" s="1" t="n">
        <v>45909.55762731482</v>
      </c>
      <c r="C331" s="1" t="n">
        <v>45958</v>
      </c>
      <c r="D331" t="inlineStr">
        <is>
          <t>NORRBOTTENS LÄN</t>
        </is>
      </c>
      <c r="E331" t="inlineStr">
        <is>
          <t>ÖVERKALIX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51425-2025</t>
        </is>
      </c>
      <c r="B332" s="1" t="n">
        <v>45950.53265046296</v>
      </c>
      <c r="C332" s="1" t="n">
        <v>45958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SCA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19259-2024</t>
        </is>
      </c>
      <c r="B333" s="1" t="n">
        <v>45428</v>
      </c>
      <c r="C333" s="1" t="n">
        <v>45958</v>
      </c>
      <c r="D333" t="inlineStr">
        <is>
          <t>NORRBOTTENS LÄN</t>
        </is>
      </c>
      <c r="E333" t="inlineStr">
        <is>
          <t>ÖVERKALIX</t>
        </is>
      </c>
      <c r="F333" t="inlineStr">
        <is>
          <t>Sveaskog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31005-2025</t>
        </is>
      </c>
      <c r="B334" s="1" t="n">
        <v>45831</v>
      </c>
      <c r="C334" s="1" t="n">
        <v>45958</v>
      </c>
      <c r="D334" t="inlineStr">
        <is>
          <t>NORRBOTTENS LÄN</t>
        </is>
      </c>
      <c r="E334" t="inlineStr">
        <is>
          <t>ÖVERKALIX</t>
        </is>
      </c>
      <c r="G334" t="n">
        <v>10.7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51424-2025</t>
        </is>
      </c>
      <c r="B335" s="1" t="n">
        <v>45950.53168981482</v>
      </c>
      <c r="C335" s="1" t="n">
        <v>45958</v>
      </c>
      <c r="D335" t="inlineStr">
        <is>
          <t>NORRBOTTENS LÄN</t>
        </is>
      </c>
      <c r="E335" t="inlineStr">
        <is>
          <t>ÖVERKALIX</t>
        </is>
      </c>
      <c r="F335" t="inlineStr">
        <is>
          <t>SCA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55642-2023</t>
        </is>
      </c>
      <c r="B336" s="1" t="n">
        <v>45238.92782407408</v>
      </c>
      <c r="C336" s="1" t="n">
        <v>45958</v>
      </c>
      <c r="D336" t="inlineStr">
        <is>
          <t>NORRBOTTENS LÄN</t>
        </is>
      </c>
      <c r="E336" t="inlineStr">
        <is>
          <t>ÖVERKALIX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51634-2025</t>
        </is>
      </c>
      <c r="B337" s="1" t="n">
        <v>45951</v>
      </c>
      <c r="C337" s="1" t="n">
        <v>45958</v>
      </c>
      <c r="D337" t="inlineStr">
        <is>
          <t>NORRBOTTENS LÄN</t>
        </is>
      </c>
      <c r="E337" t="inlineStr">
        <is>
          <t>ÖVERKALIX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38088-2023</t>
        </is>
      </c>
      <c r="B338" s="1" t="n">
        <v>45160.96331018519</v>
      </c>
      <c r="C338" s="1" t="n">
        <v>45958</v>
      </c>
      <c r="D338" t="inlineStr">
        <is>
          <t>NORRBOTTENS LÄN</t>
        </is>
      </c>
      <c r="E338" t="inlineStr">
        <is>
          <t>ÖVERKALIX</t>
        </is>
      </c>
      <c r="F338" t="inlineStr">
        <is>
          <t>SCA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14255-2023</t>
        </is>
      </c>
      <c r="B339" s="1" t="n">
        <v>45009</v>
      </c>
      <c r="C339" s="1" t="n">
        <v>45958</v>
      </c>
      <c r="D339" t="inlineStr">
        <is>
          <t>NORRBOTTENS LÄN</t>
        </is>
      </c>
      <c r="E339" t="inlineStr">
        <is>
          <t>ÖVERKALIX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18976-2024</t>
        </is>
      </c>
      <c r="B340" s="1" t="n">
        <v>45427.5741550926</v>
      </c>
      <c r="C340" s="1" t="n">
        <v>45958</v>
      </c>
      <c r="D340" t="inlineStr">
        <is>
          <t>NORRBOTTENS LÄN</t>
        </is>
      </c>
      <c r="E340" t="inlineStr">
        <is>
          <t>ÖVERKALIX</t>
        </is>
      </c>
      <c r="F340" t="inlineStr">
        <is>
          <t>Sveaskog</t>
        </is>
      </c>
      <c r="G340" t="n">
        <v>9.9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35620-2025</t>
        </is>
      </c>
      <c r="B341" s="1" t="n">
        <v>45859.41423611111</v>
      </c>
      <c r="C341" s="1" t="n">
        <v>45958</v>
      </c>
      <c r="D341" t="inlineStr">
        <is>
          <t>NORRBOTTENS LÄN</t>
        </is>
      </c>
      <c r="E341" t="inlineStr">
        <is>
          <t>ÖVERKALIX</t>
        </is>
      </c>
      <c r="F341" t="inlineStr">
        <is>
          <t>Sveaskog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28893-2025</t>
        </is>
      </c>
      <c r="B342" s="1" t="n">
        <v>45820.63310185185</v>
      </c>
      <c r="C342" s="1" t="n">
        <v>45958</v>
      </c>
      <c r="D342" t="inlineStr">
        <is>
          <t>NORRBOTTENS LÄN</t>
        </is>
      </c>
      <c r="E342" t="inlineStr">
        <is>
          <t>ÖVERKALIX</t>
        </is>
      </c>
      <c r="F342" t="inlineStr">
        <is>
          <t>Sveaskog</t>
        </is>
      </c>
      <c r="G342" t="n">
        <v>10.4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43626-2025</t>
        </is>
      </c>
      <c r="B343" s="1" t="n">
        <v>45911.69827546296</v>
      </c>
      <c r="C343" s="1" t="n">
        <v>45958</v>
      </c>
      <c r="D343" t="inlineStr">
        <is>
          <t>NORRBOTTENS LÄN</t>
        </is>
      </c>
      <c r="E343" t="inlineStr">
        <is>
          <t>ÖVERKALIX</t>
        </is>
      </c>
      <c r="F343" t="inlineStr">
        <is>
          <t>SCA</t>
        </is>
      </c>
      <c r="G343" t="n">
        <v>5.2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52207-2025</t>
        </is>
      </c>
      <c r="B344" s="1" t="n">
        <v>45953.41392361111</v>
      </c>
      <c r="C344" s="1" t="n">
        <v>45958</v>
      </c>
      <c r="D344" t="inlineStr">
        <is>
          <t>NORRBOTTENS LÄN</t>
        </is>
      </c>
      <c r="E344" t="inlineStr">
        <is>
          <t>ÖVERKALIX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43384-2025</t>
        </is>
      </c>
      <c r="B345" s="1" t="n">
        <v>45911.36493055556</v>
      </c>
      <c r="C345" s="1" t="n">
        <v>45958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SCA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41706-2021</t>
        </is>
      </c>
      <c r="B346" s="1" t="n">
        <v>44424</v>
      </c>
      <c r="C346" s="1" t="n">
        <v>45958</v>
      </c>
      <c r="D346" t="inlineStr">
        <is>
          <t>NORRBOTTENS LÄN</t>
        </is>
      </c>
      <c r="E346" t="inlineStr">
        <is>
          <t>ÖVERKALIX</t>
        </is>
      </c>
      <c r="G346" t="n">
        <v>10.2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6122-2023</t>
        </is>
      </c>
      <c r="B347" s="1" t="n">
        <v>44964.60572916667</v>
      </c>
      <c r="C347" s="1" t="n">
        <v>45958</v>
      </c>
      <c r="D347" t="inlineStr">
        <is>
          <t>NORRBOTTENS LÄN</t>
        </is>
      </c>
      <c r="E347" t="inlineStr">
        <is>
          <t>ÖVERKALIX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58764-2023</t>
        </is>
      </c>
      <c r="B348" s="1" t="n">
        <v>45251</v>
      </c>
      <c r="C348" s="1" t="n">
        <v>45958</v>
      </c>
      <c r="D348" t="inlineStr">
        <is>
          <t>NORRBOTTENS LÄN</t>
        </is>
      </c>
      <c r="E348" t="inlineStr">
        <is>
          <t>ÖVERKALIX</t>
        </is>
      </c>
      <c r="F348" t="inlineStr">
        <is>
          <t>SCA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38975-2024</t>
        </is>
      </c>
      <c r="B349" s="1" t="n">
        <v>45548</v>
      </c>
      <c r="C349" s="1" t="n">
        <v>45958</v>
      </c>
      <c r="D349" t="inlineStr">
        <is>
          <t>NORRBOTTENS LÄN</t>
        </is>
      </c>
      <c r="E349" t="inlineStr">
        <is>
          <t>ÖVERKALIX</t>
        </is>
      </c>
      <c r="F349" t="inlineStr">
        <is>
          <t>SCA</t>
        </is>
      </c>
      <c r="G349" t="n">
        <v>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24290-2024</t>
        </is>
      </c>
      <c r="B350" s="1" t="n">
        <v>45457</v>
      </c>
      <c r="C350" s="1" t="n">
        <v>45958</v>
      </c>
      <c r="D350" t="inlineStr">
        <is>
          <t>NORRBOTTENS LÄN</t>
        </is>
      </c>
      <c r="E350" t="inlineStr">
        <is>
          <t>ÖVERKALIX</t>
        </is>
      </c>
      <c r="G350" t="n">
        <v>12.9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36501-2025</t>
        </is>
      </c>
      <c r="B351" s="1" t="n">
        <v>45869.56310185185</v>
      </c>
      <c r="C351" s="1" t="n">
        <v>45958</v>
      </c>
      <c r="D351" t="inlineStr">
        <is>
          <t>NORRBOTTENS LÄN</t>
        </is>
      </c>
      <c r="E351" t="inlineStr">
        <is>
          <t>ÖVERKALIX</t>
        </is>
      </c>
      <c r="F351" t="inlineStr">
        <is>
          <t>Sveaskog</t>
        </is>
      </c>
      <c r="G351" t="n">
        <v>5.5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51561-2024</t>
        </is>
      </c>
      <c r="B352" s="1" t="n">
        <v>45604</v>
      </c>
      <c r="C352" s="1" t="n">
        <v>45958</v>
      </c>
      <c r="D352" t="inlineStr">
        <is>
          <t>NORRBOTTENS LÄN</t>
        </is>
      </c>
      <c r="E352" t="inlineStr">
        <is>
          <t>ÖVERKALIX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36486-2025</t>
        </is>
      </c>
      <c r="B353" s="1" t="n">
        <v>45869.5119212963</v>
      </c>
      <c r="C353" s="1" t="n">
        <v>45958</v>
      </c>
      <c r="D353" t="inlineStr">
        <is>
          <t>NORRBOTTENS LÄN</t>
        </is>
      </c>
      <c r="E353" t="inlineStr">
        <is>
          <t>ÖVERKALIX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52973-2025</t>
        </is>
      </c>
      <c r="B354" s="1" t="n">
        <v>45957.67832175926</v>
      </c>
      <c r="C354" s="1" t="n">
        <v>45958</v>
      </c>
      <c r="D354" t="inlineStr">
        <is>
          <t>NORRBOTTENS LÄN</t>
        </is>
      </c>
      <c r="E354" t="inlineStr">
        <is>
          <t>ÖVERKALIX</t>
        </is>
      </c>
      <c r="F354" t="inlineStr">
        <is>
          <t>SCA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1867-2023</t>
        </is>
      </c>
      <c r="B355" s="1" t="n">
        <v>44938.93743055555</v>
      </c>
      <c r="C355" s="1" t="n">
        <v>45958</v>
      </c>
      <c r="D355" t="inlineStr">
        <is>
          <t>NORRBOTTENS LÄN</t>
        </is>
      </c>
      <c r="E355" t="inlineStr">
        <is>
          <t>ÖVERKALIX</t>
        </is>
      </c>
      <c r="F355" t="inlineStr">
        <is>
          <t>SCA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1821-2025</t>
        </is>
      </c>
      <c r="B356" s="1" t="n">
        <v>45671.52428240741</v>
      </c>
      <c r="C356" s="1" t="n">
        <v>45958</v>
      </c>
      <c r="D356" t="inlineStr">
        <is>
          <t>NORRBOTTENS LÄN</t>
        </is>
      </c>
      <c r="E356" t="inlineStr">
        <is>
          <t>ÖVERKALIX</t>
        </is>
      </c>
      <c r="G356" t="n">
        <v>6.4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36620-2025</t>
        </is>
      </c>
      <c r="B357" s="1" t="n">
        <v>45870</v>
      </c>
      <c r="C357" s="1" t="n">
        <v>45958</v>
      </c>
      <c r="D357" t="inlineStr">
        <is>
          <t>NORRBOTTENS LÄN</t>
        </is>
      </c>
      <c r="E357" t="inlineStr">
        <is>
          <t>ÖVERKALIX</t>
        </is>
      </c>
      <c r="F357" t="inlineStr">
        <is>
          <t>SCA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36621-2025</t>
        </is>
      </c>
      <c r="B358" s="1" t="n">
        <v>45870.65696759259</v>
      </c>
      <c r="C358" s="1" t="n">
        <v>45958</v>
      </c>
      <c r="D358" t="inlineStr">
        <is>
          <t>NORRBOTTENS LÄN</t>
        </is>
      </c>
      <c r="E358" t="inlineStr">
        <is>
          <t>ÖVERKALIX</t>
        </is>
      </c>
      <c r="F358" t="inlineStr">
        <is>
          <t>SCA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45767-2023</t>
        </is>
      </c>
      <c r="B359" s="1" t="n">
        <v>45189</v>
      </c>
      <c r="C359" s="1" t="n">
        <v>45958</v>
      </c>
      <c r="D359" t="inlineStr">
        <is>
          <t>NORRBOTTENS LÄN</t>
        </is>
      </c>
      <c r="E359" t="inlineStr">
        <is>
          <t>ÖVERKALIX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36715-2025</t>
        </is>
      </c>
      <c r="B360" s="1" t="n">
        <v>45873</v>
      </c>
      <c r="C360" s="1" t="n">
        <v>45958</v>
      </c>
      <c r="D360" t="inlineStr">
        <is>
          <t>NORRBOTTENS LÄN</t>
        </is>
      </c>
      <c r="E360" t="inlineStr">
        <is>
          <t>ÖVERKALIX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52591-2025</t>
        </is>
      </c>
      <c r="B361" s="1" t="n">
        <v>45954.63579861111</v>
      </c>
      <c r="C361" s="1" t="n">
        <v>45958</v>
      </c>
      <c r="D361" t="inlineStr">
        <is>
          <t>NORRBOTTENS LÄN</t>
        </is>
      </c>
      <c r="E361" t="inlineStr">
        <is>
          <t>ÖVERKALIX</t>
        </is>
      </c>
      <c r="F361" t="inlineStr">
        <is>
          <t>SCA</t>
        </is>
      </c>
      <c r="G361" t="n">
        <v>7.2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25698-2024</t>
        </is>
      </c>
      <c r="B362" s="1" t="n">
        <v>45463.94219907407</v>
      </c>
      <c r="C362" s="1" t="n">
        <v>45958</v>
      </c>
      <c r="D362" t="inlineStr">
        <is>
          <t>NORRBOTTENS LÄN</t>
        </is>
      </c>
      <c r="E362" t="inlineStr">
        <is>
          <t>ÖVERKALIX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44554-2023</t>
        </is>
      </c>
      <c r="B363" s="1" t="n">
        <v>45189.5340162037</v>
      </c>
      <c r="C363" s="1" t="n">
        <v>45958</v>
      </c>
      <c r="D363" t="inlineStr">
        <is>
          <t>NORRBOTTENS LÄN</t>
        </is>
      </c>
      <c r="E363" t="inlineStr">
        <is>
          <t>ÖVERKALIX</t>
        </is>
      </c>
      <c r="G363" t="n">
        <v>8.6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33865-2023</t>
        </is>
      </c>
      <c r="B364" s="1" t="n">
        <v>45133.92516203703</v>
      </c>
      <c r="C364" s="1" t="n">
        <v>45958</v>
      </c>
      <c r="D364" t="inlineStr">
        <is>
          <t>NORRBOTTENS LÄN</t>
        </is>
      </c>
      <c r="E364" t="inlineStr">
        <is>
          <t>ÖVERKALIX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5209-2025</t>
        </is>
      </c>
      <c r="B365" s="1" t="n">
        <v>45691.67776620371</v>
      </c>
      <c r="C365" s="1" t="n">
        <v>45958</v>
      </c>
      <c r="D365" t="inlineStr">
        <is>
          <t>NORRBOTTENS LÄN</t>
        </is>
      </c>
      <c r="E365" t="inlineStr">
        <is>
          <t>ÖVERKALIX</t>
        </is>
      </c>
      <c r="F365" t="inlineStr">
        <is>
          <t>SCA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45748-2023</t>
        </is>
      </c>
      <c r="B366" s="1" t="n">
        <v>45189</v>
      </c>
      <c r="C366" s="1" t="n">
        <v>45958</v>
      </c>
      <c r="D366" t="inlineStr">
        <is>
          <t>NORRBOTTENS LÄN</t>
        </is>
      </c>
      <c r="E366" t="inlineStr">
        <is>
          <t>ÖVERKALIX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72809-2021</t>
        </is>
      </c>
      <c r="B367" s="1" t="n">
        <v>44546</v>
      </c>
      <c r="C367" s="1" t="n">
        <v>45958</v>
      </c>
      <c r="D367" t="inlineStr">
        <is>
          <t>NORRBOTTENS LÄN</t>
        </is>
      </c>
      <c r="E367" t="inlineStr">
        <is>
          <t>ÖVERKALIX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60-2025</t>
        </is>
      </c>
      <c r="B368" s="1" t="n">
        <v>45659</v>
      </c>
      <c r="C368" s="1" t="n">
        <v>45958</v>
      </c>
      <c r="D368" t="inlineStr">
        <is>
          <t>NORRBOTTENS LÄN</t>
        </is>
      </c>
      <c r="E368" t="inlineStr">
        <is>
          <t>ÖVERKALIX</t>
        </is>
      </c>
      <c r="G368" t="n">
        <v>5.1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36381-2024</t>
        </is>
      </c>
      <c r="B369" s="1" t="n">
        <v>45534</v>
      </c>
      <c r="C369" s="1" t="n">
        <v>45958</v>
      </c>
      <c r="D369" t="inlineStr">
        <is>
          <t>NORRBOTTENS LÄN</t>
        </is>
      </c>
      <c r="E369" t="inlineStr">
        <is>
          <t>ÖVERKALIX</t>
        </is>
      </c>
      <c r="F369" t="inlineStr">
        <is>
          <t>Sveaskog</t>
        </is>
      </c>
      <c r="G369" t="n">
        <v>26.7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40155-2024</t>
        </is>
      </c>
      <c r="B370" s="1" t="n">
        <v>45554</v>
      </c>
      <c r="C370" s="1" t="n">
        <v>45958</v>
      </c>
      <c r="D370" t="inlineStr">
        <is>
          <t>NORRBOTTENS LÄN</t>
        </is>
      </c>
      <c r="E370" t="inlineStr">
        <is>
          <t>ÖVERKALIX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37621-2025</t>
        </is>
      </c>
      <c r="B371" s="1" t="n">
        <v>45880.45326388889</v>
      </c>
      <c r="C371" s="1" t="n">
        <v>45958</v>
      </c>
      <c r="D371" t="inlineStr">
        <is>
          <t>NORRBOTTENS LÄN</t>
        </is>
      </c>
      <c r="E371" t="inlineStr">
        <is>
          <t>ÖVERKALIX</t>
        </is>
      </c>
      <c r="F371" t="inlineStr">
        <is>
          <t>Sveaskog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15491-2025</t>
        </is>
      </c>
      <c r="B372" s="1" t="n">
        <v>45747</v>
      </c>
      <c r="C372" s="1" t="n">
        <v>45958</v>
      </c>
      <c r="D372" t="inlineStr">
        <is>
          <t>NORRBOTTENS LÄN</t>
        </is>
      </c>
      <c r="E372" t="inlineStr">
        <is>
          <t>ÖVERKALIX</t>
        </is>
      </c>
      <c r="G372" t="n">
        <v>10.4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11919-2023</t>
        </is>
      </c>
      <c r="B373" s="1" t="n">
        <v>44993</v>
      </c>
      <c r="C373" s="1" t="n">
        <v>45958</v>
      </c>
      <c r="D373" t="inlineStr">
        <is>
          <t>NORRBOTTENS LÄN</t>
        </is>
      </c>
      <c r="E373" t="inlineStr">
        <is>
          <t>ÖVERKALIX</t>
        </is>
      </c>
      <c r="G373" t="n">
        <v>5.9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62269-2021</t>
        </is>
      </c>
      <c r="B374" s="1" t="n">
        <v>44502</v>
      </c>
      <c r="C374" s="1" t="n">
        <v>45958</v>
      </c>
      <c r="D374" t="inlineStr">
        <is>
          <t>NORRBOTTENS LÄN</t>
        </is>
      </c>
      <c r="E374" t="inlineStr">
        <is>
          <t>ÖVERKALIX</t>
        </is>
      </c>
      <c r="G374" t="n">
        <v>9.199999999999999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44754-2025</t>
        </is>
      </c>
      <c r="B375" s="1" t="n">
        <v>45917</v>
      </c>
      <c r="C375" s="1" t="n">
        <v>45958</v>
      </c>
      <c r="D375" t="inlineStr">
        <is>
          <t>NORRBOTTENS LÄN</t>
        </is>
      </c>
      <c r="E375" t="inlineStr">
        <is>
          <t>ÖVERKALIX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38145-2025</t>
        </is>
      </c>
      <c r="B376" s="1" t="n">
        <v>45882.58475694444</v>
      </c>
      <c r="C376" s="1" t="n">
        <v>45958</v>
      </c>
      <c r="D376" t="inlineStr">
        <is>
          <t>NORRBOTTENS LÄN</t>
        </is>
      </c>
      <c r="E376" t="inlineStr">
        <is>
          <t>ÖVERKALIX</t>
        </is>
      </c>
      <c r="F376" t="inlineStr">
        <is>
          <t>Sveaskog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38152-2025</t>
        </is>
      </c>
      <c r="B377" s="1" t="n">
        <v>45882.59648148148</v>
      </c>
      <c r="C377" s="1" t="n">
        <v>45958</v>
      </c>
      <c r="D377" t="inlineStr">
        <is>
          <t>NORRBOTTENS LÄN</t>
        </is>
      </c>
      <c r="E377" t="inlineStr">
        <is>
          <t>ÖVERKALIX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38081-2025</t>
        </is>
      </c>
      <c r="B378" s="1" t="n">
        <v>45882.4696412037</v>
      </c>
      <c r="C378" s="1" t="n">
        <v>45958</v>
      </c>
      <c r="D378" t="inlineStr">
        <is>
          <t>NORRBOTTENS LÄN</t>
        </is>
      </c>
      <c r="E378" t="inlineStr">
        <is>
          <t>ÖVERKALIX</t>
        </is>
      </c>
      <c r="F378" t="inlineStr">
        <is>
          <t>SCA</t>
        </is>
      </c>
      <c r="G378" t="n">
        <v>13.4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38191-2025</t>
        </is>
      </c>
      <c r="B379" s="1" t="n">
        <v>45882.65697916667</v>
      </c>
      <c r="C379" s="1" t="n">
        <v>45958</v>
      </c>
      <c r="D379" t="inlineStr">
        <is>
          <t>NORRBOTTENS LÄN</t>
        </is>
      </c>
      <c r="E379" t="inlineStr">
        <is>
          <t>ÖVERKALIX</t>
        </is>
      </c>
      <c r="F379" t="inlineStr">
        <is>
          <t>SCA</t>
        </is>
      </c>
      <c r="G379" t="n">
        <v>5.9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48747-2024</t>
        </is>
      </c>
      <c r="B380" s="1" t="n">
        <v>45593</v>
      </c>
      <c r="C380" s="1" t="n">
        <v>45958</v>
      </c>
      <c r="D380" t="inlineStr">
        <is>
          <t>NORRBOTTENS LÄN</t>
        </is>
      </c>
      <c r="E380" t="inlineStr">
        <is>
          <t>ÖVERKALIX</t>
        </is>
      </c>
      <c r="G380" t="n">
        <v>13.2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38059-2025</t>
        </is>
      </c>
      <c r="B381" s="1" t="n">
        <v>45882.42778935185</v>
      </c>
      <c r="C381" s="1" t="n">
        <v>45958</v>
      </c>
      <c r="D381" t="inlineStr">
        <is>
          <t>NORRBOTTENS LÄN</t>
        </is>
      </c>
      <c r="E381" t="inlineStr">
        <is>
          <t>ÖVERKALIX</t>
        </is>
      </c>
      <c r="F381" t="inlineStr">
        <is>
          <t>SCA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38058-2025</t>
        </is>
      </c>
      <c r="B382" s="1" t="n">
        <v>45882.42769675926</v>
      </c>
      <c r="C382" s="1" t="n">
        <v>45958</v>
      </c>
      <c r="D382" t="inlineStr">
        <is>
          <t>NORRBOTTENS LÄN</t>
        </is>
      </c>
      <c r="E382" t="inlineStr">
        <is>
          <t>ÖVERKALIX</t>
        </is>
      </c>
      <c r="F382" t="inlineStr">
        <is>
          <t>SCA</t>
        </is>
      </c>
      <c r="G382" t="n">
        <v>7.9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21559-2023</t>
        </is>
      </c>
      <c r="B383" s="1" t="n">
        <v>45063.57871527778</v>
      </c>
      <c r="C383" s="1" t="n">
        <v>45958</v>
      </c>
      <c r="D383" t="inlineStr">
        <is>
          <t>NORRBOTTENS LÄN</t>
        </is>
      </c>
      <c r="E383" t="inlineStr">
        <is>
          <t>ÖVERKALIX</t>
        </is>
      </c>
      <c r="F383" t="inlineStr">
        <is>
          <t>Sveaskog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22470-2023</t>
        </is>
      </c>
      <c r="B384" s="1" t="n">
        <v>45070</v>
      </c>
      <c r="C384" s="1" t="n">
        <v>45958</v>
      </c>
      <c r="D384" t="inlineStr">
        <is>
          <t>NORRBOTTENS LÄN</t>
        </is>
      </c>
      <c r="E384" t="inlineStr">
        <is>
          <t>ÖVERKALIX</t>
        </is>
      </c>
      <c r="F384" t="inlineStr">
        <is>
          <t>SCA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38026-2025</t>
        </is>
      </c>
      <c r="B385" s="1" t="n">
        <v>45882</v>
      </c>
      <c r="C385" s="1" t="n">
        <v>45958</v>
      </c>
      <c r="D385" t="inlineStr">
        <is>
          <t>NORRBOTTENS LÄN</t>
        </is>
      </c>
      <c r="E385" t="inlineStr">
        <is>
          <t>ÖVERKALIX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45535-2025</t>
        </is>
      </c>
      <c r="B386" s="1" t="n">
        <v>45922</v>
      </c>
      <c r="C386" s="1" t="n">
        <v>45958</v>
      </c>
      <c r="D386" t="inlineStr">
        <is>
          <t>NORRBOTTENS LÄN</t>
        </is>
      </c>
      <c r="E386" t="inlineStr">
        <is>
          <t>ÖVERKALIX</t>
        </is>
      </c>
      <c r="F386" t="inlineStr">
        <is>
          <t>Sveaskog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5653-2022</t>
        </is>
      </c>
      <c r="B387" s="1" t="n">
        <v>44595</v>
      </c>
      <c r="C387" s="1" t="n">
        <v>45958</v>
      </c>
      <c r="D387" t="inlineStr">
        <is>
          <t>NORRBOTTENS LÄN</t>
        </is>
      </c>
      <c r="E387" t="inlineStr">
        <is>
          <t>ÖVERKALIX</t>
        </is>
      </c>
      <c r="F387" t="inlineStr">
        <is>
          <t>SCA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26362-2021</t>
        </is>
      </c>
      <c r="B388" s="1" t="n">
        <v>44347</v>
      </c>
      <c r="C388" s="1" t="n">
        <v>45958</v>
      </c>
      <c r="D388" t="inlineStr">
        <is>
          <t>NORRBOTTENS LÄN</t>
        </is>
      </c>
      <c r="E388" t="inlineStr">
        <is>
          <t>ÖVERKALIX</t>
        </is>
      </c>
      <c r="G388" t="n">
        <v>11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33315-2024</t>
        </is>
      </c>
      <c r="B389" s="1" t="n">
        <v>45518.97159722223</v>
      </c>
      <c r="C389" s="1" t="n">
        <v>45958</v>
      </c>
      <c r="D389" t="inlineStr">
        <is>
          <t>NORRBOTTENS LÄN</t>
        </is>
      </c>
      <c r="E389" t="inlineStr">
        <is>
          <t>ÖVERKALIX</t>
        </is>
      </c>
      <c r="F389" t="inlineStr">
        <is>
          <t>SCA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15365-2025</t>
        </is>
      </c>
      <c r="B390" s="1" t="n">
        <v>45747.39802083333</v>
      </c>
      <c r="C390" s="1" t="n">
        <v>45958</v>
      </c>
      <c r="D390" t="inlineStr">
        <is>
          <t>NORRBOTTENS LÄN</t>
        </is>
      </c>
      <c r="E390" t="inlineStr">
        <is>
          <t>ÖVERKALIX</t>
        </is>
      </c>
      <c r="G390" t="n">
        <v>10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6454-2025</t>
        </is>
      </c>
      <c r="B391" s="1" t="n">
        <v>45699.55261574074</v>
      </c>
      <c r="C391" s="1" t="n">
        <v>45958</v>
      </c>
      <c r="D391" t="inlineStr">
        <is>
          <t>NORRBOTTENS LÄN</t>
        </is>
      </c>
      <c r="E391" t="inlineStr">
        <is>
          <t>ÖVERKALIX</t>
        </is>
      </c>
      <c r="F391" t="inlineStr">
        <is>
          <t>SCA</t>
        </is>
      </c>
      <c r="G391" t="n">
        <v>28.8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7448-2023</t>
        </is>
      </c>
      <c r="B392" s="1" t="n">
        <v>44966</v>
      </c>
      <c r="C392" s="1" t="n">
        <v>45958</v>
      </c>
      <c r="D392" t="inlineStr">
        <is>
          <t>NORRBOTTENS LÄN</t>
        </is>
      </c>
      <c r="E392" t="inlineStr">
        <is>
          <t>ÖVERKALIX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49473-2023</t>
        </is>
      </c>
      <c r="B393" s="1" t="n">
        <v>45205</v>
      </c>
      <c r="C393" s="1" t="n">
        <v>45958</v>
      </c>
      <c r="D393" t="inlineStr">
        <is>
          <t>NORRBOTTENS LÄN</t>
        </is>
      </c>
      <c r="E393" t="inlineStr">
        <is>
          <t>ÖVERKALIX</t>
        </is>
      </c>
      <c r="G393" t="n">
        <v>9.300000000000001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2993-2024</t>
        </is>
      </c>
      <c r="B394" s="1" t="n">
        <v>45315.72337962963</v>
      </c>
      <c r="C394" s="1" t="n">
        <v>45958</v>
      </c>
      <c r="D394" t="inlineStr">
        <is>
          <t>NORRBOTTENS LÄN</t>
        </is>
      </c>
      <c r="E394" t="inlineStr">
        <is>
          <t>ÖVERKALIX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6641-2022</t>
        </is>
      </c>
      <c r="B395" s="1" t="n">
        <v>44601.93563657408</v>
      </c>
      <c r="C395" s="1" t="n">
        <v>45958</v>
      </c>
      <c r="D395" t="inlineStr">
        <is>
          <t>NORRBOTTENS LÄN</t>
        </is>
      </c>
      <c r="E395" t="inlineStr">
        <is>
          <t>ÖVERKALIX</t>
        </is>
      </c>
      <c r="F395" t="inlineStr">
        <is>
          <t>SCA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26554-2023</t>
        </is>
      </c>
      <c r="B396" s="1" t="n">
        <v>45092</v>
      </c>
      <c r="C396" s="1" t="n">
        <v>45958</v>
      </c>
      <c r="D396" t="inlineStr">
        <is>
          <t>NORRBOTTENS LÄN</t>
        </is>
      </c>
      <c r="E396" t="inlineStr">
        <is>
          <t>ÖVERKALIX</t>
        </is>
      </c>
      <c r="F396" t="inlineStr">
        <is>
          <t>Sveaskog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2003-2024</t>
        </is>
      </c>
      <c r="B397" s="1" t="n">
        <v>45308.65068287037</v>
      </c>
      <c r="C397" s="1" t="n">
        <v>45958</v>
      </c>
      <c r="D397" t="inlineStr">
        <is>
          <t>NORRBOTTENS LÄN</t>
        </is>
      </c>
      <c r="E397" t="inlineStr">
        <is>
          <t>ÖVERKALIX</t>
        </is>
      </c>
      <c r="G397" t="n">
        <v>5.4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5723-2024</t>
        </is>
      </c>
      <c r="B398" s="1" t="n">
        <v>45334</v>
      </c>
      <c r="C398" s="1" t="n">
        <v>45958</v>
      </c>
      <c r="D398" t="inlineStr">
        <is>
          <t>NORRBOTTENS LÄN</t>
        </is>
      </c>
      <c r="E398" t="inlineStr">
        <is>
          <t>ÖVERKALIX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3701-2024</t>
        </is>
      </c>
      <c r="B399" s="1" t="n">
        <v>45321</v>
      </c>
      <c r="C399" s="1" t="n">
        <v>45958</v>
      </c>
      <c r="D399" t="inlineStr">
        <is>
          <t>NORRBOTTENS LÄN</t>
        </is>
      </c>
      <c r="E399" t="inlineStr">
        <is>
          <t>ÖVERKALIX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21299-2024</t>
        </is>
      </c>
      <c r="B400" s="1" t="n">
        <v>45440</v>
      </c>
      <c r="C400" s="1" t="n">
        <v>45958</v>
      </c>
      <c r="D400" t="inlineStr">
        <is>
          <t>NORRBOTTENS LÄN</t>
        </is>
      </c>
      <c r="E400" t="inlineStr">
        <is>
          <t>ÖVERKALIX</t>
        </is>
      </c>
      <c r="F400" t="inlineStr">
        <is>
          <t>Sveaskog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42407-2022</t>
        </is>
      </c>
      <c r="B401" s="1" t="n">
        <v>44830</v>
      </c>
      <c r="C401" s="1" t="n">
        <v>45958</v>
      </c>
      <c r="D401" t="inlineStr">
        <is>
          <t>NORRBOTTENS LÄN</t>
        </is>
      </c>
      <c r="E401" t="inlineStr">
        <is>
          <t>ÖVERKALIX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55227-2024</t>
        </is>
      </c>
      <c r="B402" s="1" t="n">
        <v>45621</v>
      </c>
      <c r="C402" s="1" t="n">
        <v>45958</v>
      </c>
      <c r="D402" t="inlineStr">
        <is>
          <t>NORRBOTTENS LÄN</t>
        </is>
      </c>
      <c r="E402" t="inlineStr">
        <is>
          <t>ÖVERKALIX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25697-2024</t>
        </is>
      </c>
      <c r="B403" s="1" t="n">
        <v>45463</v>
      </c>
      <c r="C403" s="1" t="n">
        <v>45958</v>
      </c>
      <c r="D403" t="inlineStr">
        <is>
          <t>NORRBOTTENS LÄN</t>
        </is>
      </c>
      <c r="E403" t="inlineStr">
        <is>
          <t>ÖVERKALIX</t>
        </is>
      </c>
      <c r="F403" t="inlineStr">
        <is>
          <t>SCA</t>
        </is>
      </c>
      <c r="G403" t="n">
        <v>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6453-2025</t>
        </is>
      </c>
      <c r="B404" s="1" t="n">
        <v>45699.55245370371</v>
      </c>
      <c r="C404" s="1" t="n">
        <v>45958</v>
      </c>
      <c r="D404" t="inlineStr">
        <is>
          <t>NORRBOTTENS LÄN</t>
        </is>
      </c>
      <c r="E404" t="inlineStr">
        <is>
          <t>ÖVERKALIX</t>
        </is>
      </c>
      <c r="F404" t="inlineStr">
        <is>
          <t>SCA</t>
        </is>
      </c>
      <c r="G404" t="n">
        <v>18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7234-2023</t>
        </is>
      </c>
      <c r="B405" s="1" t="n">
        <v>44970.60267361111</v>
      </c>
      <c r="C405" s="1" t="n">
        <v>45958</v>
      </c>
      <c r="D405" t="inlineStr">
        <is>
          <t>NORRBOTTENS LÄN</t>
        </is>
      </c>
      <c r="E405" t="inlineStr">
        <is>
          <t>ÖVERKALIX</t>
        </is>
      </c>
      <c r="G405" t="n">
        <v>5.2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6591-2023</t>
        </is>
      </c>
      <c r="B406" s="1" t="n">
        <v>44966.50604166667</v>
      </c>
      <c r="C406" s="1" t="n">
        <v>45958</v>
      </c>
      <c r="D406" t="inlineStr">
        <is>
          <t>NORRBOTTENS LÄN</t>
        </is>
      </c>
      <c r="E406" t="inlineStr">
        <is>
          <t>ÖVERKALIX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71902-2021</t>
        </is>
      </c>
      <c r="B407" s="1" t="n">
        <v>44539</v>
      </c>
      <c r="C407" s="1" t="n">
        <v>45958</v>
      </c>
      <c r="D407" t="inlineStr">
        <is>
          <t>NORRBOTTENS LÄN</t>
        </is>
      </c>
      <c r="E407" t="inlineStr">
        <is>
          <t>ÖVERKALIX</t>
        </is>
      </c>
      <c r="G407" t="n">
        <v>24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57836-2022</t>
        </is>
      </c>
      <c r="B408" s="1" t="n">
        <v>44897</v>
      </c>
      <c r="C408" s="1" t="n">
        <v>45958</v>
      </c>
      <c r="D408" t="inlineStr">
        <is>
          <t>NORRBOTTENS LÄN</t>
        </is>
      </c>
      <c r="E408" t="inlineStr">
        <is>
          <t>ÖVERKALIX</t>
        </is>
      </c>
      <c r="F408" t="inlineStr">
        <is>
          <t>SCA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73216-2021</t>
        </is>
      </c>
      <c r="B409" s="1" t="n">
        <v>44547</v>
      </c>
      <c r="C409" s="1" t="n">
        <v>45958</v>
      </c>
      <c r="D409" t="inlineStr">
        <is>
          <t>NORRBOTTENS LÄN</t>
        </is>
      </c>
      <c r="E409" t="inlineStr">
        <is>
          <t>ÖVERKALIX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3704-2024</t>
        </is>
      </c>
      <c r="B410" s="1" t="n">
        <v>45321</v>
      </c>
      <c r="C410" s="1" t="n">
        <v>45958</v>
      </c>
      <c r="D410" t="inlineStr">
        <is>
          <t>NORRBOTTENS LÄN</t>
        </is>
      </c>
      <c r="E410" t="inlineStr">
        <is>
          <t>ÖVERKALIX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49091-2024</t>
        </is>
      </c>
      <c r="B411" s="1" t="n">
        <v>45594</v>
      </c>
      <c r="C411" s="1" t="n">
        <v>45958</v>
      </c>
      <c r="D411" t="inlineStr">
        <is>
          <t>NORRBOTTENS LÄN</t>
        </is>
      </c>
      <c r="E411" t="inlineStr">
        <is>
          <t>ÖVERKALIX</t>
        </is>
      </c>
      <c r="F411" t="inlineStr">
        <is>
          <t>Sveaskog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29961-2023</t>
        </is>
      </c>
      <c r="B412" s="1" t="n">
        <v>45107.93931712963</v>
      </c>
      <c r="C412" s="1" t="n">
        <v>45958</v>
      </c>
      <c r="D412" t="inlineStr">
        <is>
          <t>NORRBOTTENS LÄN</t>
        </is>
      </c>
      <c r="E412" t="inlineStr">
        <is>
          <t>ÖVERKALIX</t>
        </is>
      </c>
      <c r="F412" t="inlineStr">
        <is>
          <t>SCA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72212-2021</t>
        </is>
      </c>
      <c r="B413" s="1" t="n">
        <v>44543</v>
      </c>
      <c r="C413" s="1" t="n">
        <v>45958</v>
      </c>
      <c r="D413" t="inlineStr">
        <is>
          <t>NORRBOTTENS LÄN</t>
        </is>
      </c>
      <c r="E413" t="inlineStr">
        <is>
          <t>ÖVERKALIX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27054-2024</t>
        </is>
      </c>
      <c r="B414" s="1" t="n">
        <v>45471.45269675926</v>
      </c>
      <c r="C414" s="1" t="n">
        <v>45958</v>
      </c>
      <c r="D414" t="inlineStr">
        <is>
          <t>NORRBOTTENS LÄN</t>
        </is>
      </c>
      <c r="E414" t="inlineStr">
        <is>
          <t>ÖVERKALIX</t>
        </is>
      </c>
      <c r="F414" t="inlineStr">
        <is>
          <t>Sveaskog</t>
        </is>
      </c>
      <c r="G414" t="n">
        <v>6.8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27057-2024</t>
        </is>
      </c>
      <c r="B415" s="1" t="n">
        <v>45471.4519212963</v>
      </c>
      <c r="C415" s="1" t="n">
        <v>45958</v>
      </c>
      <c r="D415" t="inlineStr">
        <is>
          <t>NORRBOTTENS LÄN</t>
        </is>
      </c>
      <c r="E415" t="inlineStr">
        <is>
          <t>ÖVERKALIX</t>
        </is>
      </c>
      <c r="F415" t="inlineStr">
        <is>
          <t>Sveaskog</t>
        </is>
      </c>
      <c r="G415" t="n">
        <v>32.6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52647-2024</t>
        </is>
      </c>
      <c r="B416" s="1" t="n">
        <v>45610.34540509259</v>
      </c>
      <c r="C416" s="1" t="n">
        <v>45958</v>
      </c>
      <c r="D416" t="inlineStr">
        <is>
          <t>NORRBOTTENS LÄN</t>
        </is>
      </c>
      <c r="E416" t="inlineStr">
        <is>
          <t>ÖVERKALIX</t>
        </is>
      </c>
      <c r="F416" t="inlineStr">
        <is>
          <t>SCA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54143-2021</t>
        </is>
      </c>
      <c r="B417" s="1" t="n">
        <v>44469</v>
      </c>
      <c r="C417" s="1" t="n">
        <v>45958</v>
      </c>
      <c r="D417" t="inlineStr">
        <is>
          <t>NORRBOTTENS LÄN</t>
        </is>
      </c>
      <c r="E417" t="inlineStr">
        <is>
          <t>ÖVERKALIX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15854-2024</t>
        </is>
      </c>
      <c r="B418" s="1" t="n">
        <v>45404.96539351852</v>
      </c>
      <c r="C418" s="1" t="n">
        <v>45958</v>
      </c>
      <c r="D418" t="inlineStr">
        <is>
          <t>NORRBOTTENS LÄN</t>
        </is>
      </c>
      <c r="E418" t="inlineStr">
        <is>
          <t>ÖVERKALIX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3694-2023</t>
        </is>
      </c>
      <c r="B419" s="1" t="n">
        <v>44950.94677083333</v>
      </c>
      <c r="C419" s="1" t="n">
        <v>45958</v>
      </c>
      <c r="D419" t="inlineStr">
        <is>
          <t>NORRBOTTENS LÄN</t>
        </is>
      </c>
      <c r="E419" t="inlineStr">
        <is>
          <t>ÖVERKALIX</t>
        </is>
      </c>
      <c r="F419" t="inlineStr">
        <is>
          <t>SCA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12591-2024</t>
        </is>
      </c>
      <c r="B420" s="1" t="n">
        <v>45379.93701388889</v>
      </c>
      <c r="C420" s="1" t="n">
        <v>45958</v>
      </c>
      <c r="D420" t="inlineStr">
        <is>
          <t>NORRBOTTENS LÄN</t>
        </is>
      </c>
      <c r="E420" t="inlineStr">
        <is>
          <t>ÖVERKALIX</t>
        </is>
      </c>
      <c r="F420" t="inlineStr">
        <is>
          <t>SCA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20580-2024</t>
        </is>
      </c>
      <c r="B421" s="1" t="n">
        <v>45436.40979166667</v>
      </c>
      <c r="C421" s="1" t="n">
        <v>45958</v>
      </c>
      <c r="D421" t="inlineStr">
        <is>
          <t>NORRBOTTENS LÄN</t>
        </is>
      </c>
      <c r="E421" t="inlineStr">
        <is>
          <t>ÖVERKALIX</t>
        </is>
      </c>
      <c r="F421" t="inlineStr">
        <is>
          <t>Sveaskog</t>
        </is>
      </c>
      <c r="G421" t="n">
        <v>29.9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50862-2023</t>
        </is>
      </c>
      <c r="B422" s="1" t="n">
        <v>45218</v>
      </c>
      <c r="C422" s="1" t="n">
        <v>45958</v>
      </c>
      <c r="D422" t="inlineStr">
        <is>
          <t>NORRBOTTENS LÄN</t>
        </is>
      </c>
      <c r="E422" t="inlineStr">
        <is>
          <t>ÖVERKALIX</t>
        </is>
      </c>
      <c r="G422" t="n">
        <v>8.199999999999999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22854-2024</t>
        </is>
      </c>
      <c r="B423" s="1" t="n">
        <v>45448</v>
      </c>
      <c r="C423" s="1" t="n">
        <v>45958</v>
      </c>
      <c r="D423" t="inlineStr">
        <is>
          <t>NORRBOTTENS LÄN</t>
        </is>
      </c>
      <c r="E423" t="inlineStr">
        <is>
          <t>ÖVERKALIX</t>
        </is>
      </c>
      <c r="F423" t="inlineStr">
        <is>
          <t>Sveaskog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62384-2023</t>
        </is>
      </c>
      <c r="B424" s="1" t="n">
        <v>45266</v>
      </c>
      <c r="C424" s="1" t="n">
        <v>45958</v>
      </c>
      <c r="D424" t="inlineStr">
        <is>
          <t>NORRBOTTENS LÄN</t>
        </is>
      </c>
      <c r="E424" t="inlineStr">
        <is>
          <t>ÖVERKALIX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1310-2025</t>
        </is>
      </c>
      <c r="B425" s="1" t="n">
        <v>45667.55340277778</v>
      </c>
      <c r="C425" s="1" t="n">
        <v>45958</v>
      </c>
      <c r="D425" t="inlineStr">
        <is>
          <t>NORRBOTTENS LÄN</t>
        </is>
      </c>
      <c r="E425" t="inlineStr">
        <is>
          <t>ÖVERKALIX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15546-2024</t>
        </is>
      </c>
      <c r="B426" s="1" t="n">
        <v>45401.62734953704</v>
      </c>
      <c r="C426" s="1" t="n">
        <v>45958</v>
      </c>
      <c r="D426" t="inlineStr">
        <is>
          <t>NORRBOTTENS LÄN</t>
        </is>
      </c>
      <c r="E426" t="inlineStr">
        <is>
          <t>ÖVERKALIX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21777-2024</t>
        </is>
      </c>
      <c r="B427" s="1" t="n">
        <v>45442</v>
      </c>
      <c r="C427" s="1" t="n">
        <v>45958</v>
      </c>
      <c r="D427" t="inlineStr">
        <is>
          <t>NORRBOTTENS LÄN</t>
        </is>
      </c>
      <c r="E427" t="inlineStr">
        <is>
          <t>ÖVERKALIX</t>
        </is>
      </c>
      <c r="F427" t="inlineStr">
        <is>
          <t>Sveaskog</t>
        </is>
      </c>
      <c r="G427" t="n">
        <v>30.5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5705-2023</t>
        </is>
      </c>
      <c r="B428" s="1" t="n">
        <v>44960</v>
      </c>
      <c r="C428" s="1" t="n">
        <v>45958</v>
      </c>
      <c r="D428" t="inlineStr">
        <is>
          <t>NORRBOTTENS LÄN</t>
        </is>
      </c>
      <c r="E428" t="inlineStr">
        <is>
          <t>ÖVERKALIX</t>
        </is>
      </c>
      <c r="F428" t="inlineStr">
        <is>
          <t>SCA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39405-2022</t>
        </is>
      </c>
      <c r="B429" s="1" t="n">
        <v>44817</v>
      </c>
      <c r="C429" s="1" t="n">
        <v>45958</v>
      </c>
      <c r="D429" t="inlineStr">
        <is>
          <t>NORRBOTTENS LÄN</t>
        </is>
      </c>
      <c r="E429" t="inlineStr">
        <is>
          <t>ÖVERKALIX</t>
        </is>
      </c>
      <c r="F429" t="inlineStr">
        <is>
          <t>SCA</t>
        </is>
      </c>
      <c r="G429" t="n">
        <v>8.800000000000001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17531-2025</t>
        </is>
      </c>
      <c r="B430" s="1" t="n">
        <v>45757</v>
      </c>
      <c r="C430" s="1" t="n">
        <v>45958</v>
      </c>
      <c r="D430" t="inlineStr">
        <is>
          <t>NORRBOTTENS LÄN</t>
        </is>
      </c>
      <c r="E430" t="inlineStr">
        <is>
          <t>ÖVERKALIX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40281-2022</t>
        </is>
      </c>
      <c r="B431" s="1" t="n">
        <v>44820</v>
      </c>
      <c r="C431" s="1" t="n">
        <v>45958</v>
      </c>
      <c r="D431" t="inlineStr">
        <is>
          <t>NORRBOTTENS LÄN</t>
        </is>
      </c>
      <c r="E431" t="inlineStr">
        <is>
          <t>ÖVERKALIX</t>
        </is>
      </c>
      <c r="F431" t="inlineStr">
        <is>
          <t>SCA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37085-2024</t>
        </is>
      </c>
      <c r="B432" s="1" t="n">
        <v>45539</v>
      </c>
      <c r="C432" s="1" t="n">
        <v>45958</v>
      </c>
      <c r="D432" t="inlineStr">
        <is>
          <t>NORRBOTTENS LÄN</t>
        </is>
      </c>
      <c r="E432" t="inlineStr">
        <is>
          <t>ÖVERKALIX</t>
        </is>
      </c>
      <c r="F432" t="inlineStr">
        <is>
          <t>Sveaskog</t>
        </is>
      </c>
      <c r="G432" t="n">
        <v>6.6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46945-2021</t>
        </is>
      </c>
      <c r="B433" s="1" t="n">
        <v>44446</v>
      </c>
      <c r="C433" s="1" t="n">
        <v>45958</v>
      </c>
      <c r="D433" t="inlineStr">
        <is>
          <t>NORRBOTTENS LÄN</t>
        </is>
      </c>
      <c r="E433" t="inlineStr">
        <is>
          <t>ÖVERKALIX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52075-2023</t>
        </is>
      </c>
      <c r="B434" s="1" t="n">
        <v>45223</v>
      </c>
      <c r="C434" s="1" t="n">
        <v>45958</v>
      </c>
      <c r="D434" t="inlineStr">
        <is>
          <t>NORRBOTTENS LÄN</t>
        </is>
      </c>
      <c r="E434" t="inlineStr">
        <is>
          <t>ÖVERKALIX</t>
        </is>
      </c>
      <c r="G434" t="n">
        <v>8.6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51057-2024</t>
        </is>
      </c>
      <c r="B435" s="1" t="n">
        <v>45603.44780092593</v>
      </c>
      <c r="C435" s="1" t="n">
        <v>45958</v>
      </c>
      <c r="D435" t="inlineStr">
        <is>
          <t>NORRBOTTENS LÄN</t>
        </is>
      </c>
      <c r="E435" t="inlineStr">
        <is>
          <t>ÖVERKALIX</t>
        </is>
      </c>
      <c r="F435" t="inlineStr">
        <is>
          <t>SCA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51058-2024</t>
        </is>
      </c>
      <c r="B436" s="1" t="n">
        <v>45603</v>
      </c>
      <c r="C436" s="1" t="n">
        <v>45958</v>
      </c>
      <c r="D436" t="inlineStr">
        <is>
          <t>NORRBOTTENS LÄN</t>
        </is>
      </c>
      <c r="E436" t="inlineStr">
        <is>
          <t>ÖVERKALIX</t>
        </is>
      </c>
      <c r="F436" t="inlineStr">
        <is>
          <t>SCA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51063-2024</t>
        </is>
      </c>
      <c r="B437" s="1" t="n">
        <v>45603.44855324074</v>
      </c>
      <c r="C437" s="1" t="n">
        <v>45958</v>
      </c>
      <c r="D437" t="inlineStr">
        <is>
          <t>NORRBOTTENS LÄN</t>
        </is>
      </c>
      <c r="E437" t="inlineStr">
        <is>
          <t>ÖVERKALIX</t>
        </is>
      </c>
      <c r="F437" t="inlineStr">
        <is>
          <t>SCA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43673-2021</t>
        </is>
      </c>
      <c r="B438" s="1" t="n">
        <v>44433.58289351852</v>
      </c>
      <c r="C438" s="1" t="n">
        <v>45958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Sveaskog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5572-2025</t>
        </is>
      </c>
      <c r="B439" s="1" t="n">
        <v>45693.51137731481</v>
      </c>
      <c r="C439" s="1" t="n">
        <v>45958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2992-2024</t>
        </is>
      </c>
      <c r="B440" s="1" t="n">
        <v>45315.72113425926</v>
      </c>
      <c r="C440" s="1" t="n">
        <v>45958</v>
      </c>
      <c r="D440" t="inlineStr">
        <is>
          <t>NORRBOTTENS LÄN</t>
        </is>
      </c>
      <c r="E440" t="inlineStr">
        <is>
          <t>ÖVERKALIX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20392-2025</t>
        </is>
      </c>
      <c r="B441" s="1" t="n">
        <v>45775.44878472222</v>
      </c>
      <c r="C441" s="1" t="n">
        <v>45958</v>
      </c>
      <c r="D441" t="inlineStr">
        <is>
          <t>NORRBOTTENS LÄN</t>
        </is>
      </c>
      <c r="E441" t="inlineStr">
        <is>
          <t>ÖVERKALIX</t>
        </is>
      </c>
      <c r="F441" t="inlineStr">
        <is>
          <t>SCA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55226-2024</t>
        </is>
      </c>
      <c r="B442" s="1" t="n">
        <v>45621.57475694444</v>
      </c>
      <c r="C442" s="1" t="n">
        <v>45958</v>
      </c>
      <c r="D442" t="inlineStr">
        <is>
          <t>NORRBOTTENS LÄN</t>
        </is>
      </c>
      <c r="E442" t="inlineStr">
        <is>
          <t>ÖVERKALIX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15153-2025</t>
        </is>
      </c>
      <c r="B443" s="1" t="n">
        <v>45744.4612037037</v>
      </c>
      <c r="C443" s="1" t="n">
        <v>45958</v>
      </c>
      <c r="D443" t="inlineStr">
        <is>
          <t>NORRBOTTENS LÄN</t>
        </is>
      </c>
      <c r="E443" t="inlineStr">
        <is>
          <t>ÖVERKALIX</t>
        </is>
      </c>
      <c r="G443" t="n">
        <v>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58037-2024</t>
        </is>
      </c>
      <c r="B444" s="1" t="n">
        <v>45631</v>
      </c>
      <c r="C444" s="1" t="n">
        <v>45958</v>
      </c>
      <c r="D444" t="inlineStr">
        <is>
          <t>NORRBOTTENS LÄN</t>
        </is>
      </c>
      <c r="E444" t="inlineStr">
        <is>
          <t>ÖVERKALIX</t>
        </is>
      </c>
      <c r="G444" t="n">
        <v>7.4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19985-2025</t>
        </is>
      </c>
      <c r="B445" s="1" t="n">
        <v>45771</v>
      </c>
      <c r="C445" s="1" t="n">
        <v>45958</v>
      </c>
      <c r="D445" t="inlineStr">
        <is>
          <t>NORRBOTTENS LÄN</t>
        </is>
      </c>
      <c r="E445" t="inlineStr">
        <is>
          <t>ÖVERKALIX</t>
        </is>
      </c>
      <c r="F445" t="inlineStr">
        <is>
          <t>SCA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62561-2023</t>
        </is>
      </c>
      <c r="B446" s="1" t="n">
        <v>45268</v>
      </c>
      <c r="C446" s="1" t="n">
        <v>45958</v>
      </c>
      <c r="D446" t="inlineStr">
        <is>
          <t>NORRBOTTENS LÄN</t>
        </is>
      </c>
      <c r="E446" t="inlineStr">
        <is>
          <t>ÖVERKALIX</t>
        </is>
      </c>
      <c r="F446" t="inlineStr">
        <is>
          <t>SCA</t>
        </is>
      </c>
      <c r="G446" t="n">
        <v>6.3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48577-2023</t>
        </is>
      </c>
      <c r="B447" s="1" t="n">
        <v>45208</v>
      </c>
      <c r="C447" s="1" t="n">
        <v>45958</v>
      </c>
      <c r="D447" t="inlineStr">
        <is>
          <t>NORRBOTTENS LÄN</t>
        </is>
      </c>
      <c r="E447" t="inlineStr">
        <is>
          <t>ÖVERKALIX</t>
        </is>
      </c>
      <c r="F447" t="inlineStr">
        <is>
          <t>Sveaskog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38941-2024</t>
        </is>
      </c>
      <c r="B448" s="1" t="n">
        <v>45548</v>
      </c>
      <c r="C448" s="1" t="n">
        <v>45958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SCA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50691-2024</t>
        </is>
      </c>
      <c r="B449" s="1" t="n">
        <v>45602</v>
      </c>
      <c r="C449" s="1" t="n">
        <v>45958</v>
      </c>
      <c r="D449" t="inlineStr">
        <is>
          <t>NORRBOTTENS LÄN</t>
        </is>
      </c>
      <c r="E449" t="inlineStr">
        <is>
          <t>ÖVERKALIX</t>
        </is>
      </c>
      <c r="F449" t="inlineStr">
        <is>
          <t>Sveaskog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40329-2023</t>
        </is>
      </c>
      <c r="B450" s="1" t="n">
        <v>45169.62248842593</v>
      </c>
      <c r="C450" s="1" t="n">
        <v>45958</v>
      </c>
      <c r="D450" t="inlineStr">
        <is>
          <t>NORRBOTTENS LÄN</t>
        </is>
      </c>
      <c r="E450" t="inlineStr">
        <is>
          <t>ÖVERKALIX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39327-2024</t>
        </is>
      </c>
      <c r="B451" s="1" t="n">
        <v>45551</v>
      </c>
      <c r="C451" s="1" t="n">
        <v>45958</v>
      </c>
      <c r="D451" t="inlineStr">
        <is>
          <t>NORRBOTTENS LÄN</t>
        </is>
      </c>
      <c r="E451" t="inlineStr">
        <is>
          <t>ÖVERKALIX</t>
        </is>
      </c>
      <c r="F451" t="inlineStr">
        <is>
          <t>SCA</t>
        </is>
      </c>
      <c r="G451" t="n">
        <v>8.300000000000001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36839-2023</t>
        </is>
      </c>
      <c r="B452" s="1" t="n">
        <v>45153</v>
      </c>
      <c r="C452" s="1" t="n">
        <v>45958</v>
      </c>
      <c r="D452" t="inlineStr">
        <is>
          <t>NORRBOTTENS LÄN</t>
        </is>
      </c>
      <c r="E452" t="inlineStr">
        <is>
          <t>ÖVERKALIX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52976-2024</t>
        </is>
      </c>
      <c r="B453" s="1" t="n">
        <v>45611.34413194445</v>
      </c>
      <c r="C453" s="1" t="n">
        <v>45958</v>
      </c>
      <c r="D453" t="inlineStr">
        <is>
          <t>NORRBOTTENS LÄN</t>
        </is>
      </c>
      <c r="E453" t="inlineStr">
        <is>
          <t>ÖVERKALIX</t>
        </is>
      </c>
      <c r="F453" t="inlineStr">
        <is>
          <t>SCA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29960-2023</t>
        </is>
      </c>
      <c r="B454" s="1" t="n">
        <v>45107.93924768519</v>
      </c>
      <c r="C454" s="1" t="n">
        <v>45958</v>
      </c>
      <c r="D454" t="inlineStr">
        <is>
          <t>NORRBOTTENS LÄN</t>
        </is>
      </c>
      <c r="E454" t="inlineStr">
        <is>
          <t>ÖVERKALIX</t>
        </is>
      </c>
      <c r="F454" t="inlineStr">
        <is>
          <t>SCA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23324-2023</t>
        </is>
      </c>
      <c r="B455" s="1" t="n">
        <v>45076</v>
      </c>
      <c r="C455" s="1" t="n">
        <v>45958</v>
      </c>
      <c r="D455" t="inlineStr">
        <is>
          <t>NORRBOTTENS LÄN</t>
        </is>
      </c>
      <c r="E455" t="inlineStr">
        <is>
          <t>ÖVERKALIX</t>
        </is>
      </c>
      <c r="F455" t="inlineStr">
        <is>
          <t>Övriga statliga verk och myndigheter</t>
        </is>
      </c>
      <c r="G455" t="n">
        <v>38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19529-2024</t>
        </is>
      </c>
      <c r="B456" s="1" t="n">
        <v>45429.64071759259</v>
      </c>
      <c r="C456" s="1" t="n">
        <v>45958</v>
      </c>
      <c r="D456" t="inlineStr">
        <is>
          <t>NORRBOTTENS LÄN</t>
        </is>
      </c>
      <c r="E456" t="inlineStr">
        <is>
          <t>ÖVERKALIX</t>
        </is>
      </c>
      <c r="F456" t="inlineStr">
        <is>
          <t>Sveaskog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32061-2024</t>
        </is>
      </c>
      <c r="B457" s="1" t="n">
        <v>45510</v>
      </c>
      <c r="C457" s="1" t="n">
        <v>45958</v>
      </c>
      <c r="D457" t="inlineStr">
        <is>
          <t>NORRBOTTENS LÄN</t>
        </is>
      </c>
      <c r="E457" t="inlineStr">
        <is>
          <t>ÖVERKALIX</t>
        </is>
      </c>
      <c r="F457" t="inlineStr">
        <is>
          <t>SCA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48561-2024</t>
        </is>
      </c>
      <c r="B458" s="1" t="n">
        <v>45593.38583333333</v>
      </c>
      <c r="C458" s="1" t="n">
        <v>45958</v>
      </c>
      <c r="D458" t="inlineStr">
        <is>
          <t>NORRBOTTENS LÄN</t>
        </is>
      </c>
      <c r="E458" t="inlineStr">
        <is>
          <t>ÖVERKALIX</t>
        </is>
      </c>
      <c r="F458" t="inlineStr">
        <is>
          <t>SCA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5382-2025</t>
        </is>
      </c>
      <c r="B459" s="1" t="n">
        <v>45692.61486111111</v>
      </c>
      <c r="C459" s="1" t="n">
        <v>45958</v>
      </c>
      <c r="D459" t="inlineStr">
        <is>
          <t>NORRBOTTENS LÄN</t>
        </is>
      </c>
      <c r="E459" t="inlineStr">
        <is>
          <t>ÖVERKALIX</t>
        </is>
      </c>
      <c r="F459" t="inlineStr">
        <is>
          <t>SCA</t>
        </is>
      </c>
      <c r="G459" t="n">
        <v>10.1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5570-2025</t>
        </is>
      </c>
      <c r="B460" s="1" t="n">
        <v>45693.51109953703</v>
      </c>
      <c r="C460" s="1" t="n">
        <v>45958</v>
      </c>
      <c r="D460" t="inlineStr">
        <is>
          <t>NORRBOTTENS LÄN</t>
        </is>
      </c>
      <c r="E460" t="inlineStr">
        <is>
          <t>ÖVERKALIX</t>
        </is>
      </c>
      <c r="F460" t="inlineStr">
        <is>
          <t>SCA</t>
        </is>
      </c>
      <c r="G460" t="n">
        <v>5.5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>
      <c r="A461" t="inlineStr">
        <is>
          <t>A 33761-2024</t>
        </is>
      </c>
      <c r="B461" s="1" t="n">
        <v>45520.56951388889</v>
      </c>
      <c r="C461" s="1" t="n">
        <v>45958</v>
      </c>
      <c r="D461" t="inlineStr">
        <is>
          <t>NORRBOTTENS LÄN</t>
        </is>
      </c>
      <c r="E461" t="inlineStr">
        <is>
          <t>ÖVERKALIX</t>
        </is>
      </c>
      <c r="F461" t="inlineStr">
        <is>
          <t>Sveaskog</t>
        </is>
      </c>
      <c r="G461" t="n">
        <v>4.6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2025-10-28T10:29:36Z</dcterms:created>
  <dcterms:modified xmlns:dcterms="http://purl.org/dc/terms/" xmlns:xsi="http://www.w3.org/2001/XMLSchema-instance" xsi:type="dcterms:W3CDTF">2025-10-28T10:29:36Z</dcterms:modified>
</cp:coreProperties>
</file>