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45202</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45202</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45202</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45202</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45202</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45202</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45202</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45202</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45202</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45202</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45202</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45202</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45202</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45202</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45202</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45202</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45202</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45202</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45202</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45202</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45202</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45202</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45202</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45202</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45202</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45202</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45202</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45202</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45202</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45202</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45202</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45202</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45202</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45202</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45202</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45202</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45202</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45202</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45202</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45202</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45202</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45202</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45202</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45202</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45202</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45202</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45202</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45202</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45202</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45202</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45202</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45202</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45202</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45202</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45202</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45202</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45202</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45202</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45202</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45202</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45202</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24163-2019</t>
        </is>
      </c>
      <c r="B63" s="1" t="n">
        <v>43598</v>
      </c>
      <c r="C63" s="1" t="n">
        <v>45202</v>
      </c>
      <c r="D63" t="inlineStr">
        <is>
          <t>JÄMTLANDS LÄN</t>
        </is>
      </c>
      <c r="E63" t="inlineStr">
        <is>
          <t>ÅRE</t>
        </is>
      </c>
      <c r="G63" t="n">
        <v>16.5</v>
      </c>
      <c r="H63" t="n">
        <v>0</v>
      </c>
      <c r="I63" t="n">
        <v>0</v>
      </c>
      <c r="J63" t="n">
        <v>3</v>
      </c>
      <c r="K63" t="n">
        <v>0</v>
      </c>
      <c r="L63" t="n">
        <v>0</v>
      </c>
      <c r="M63" t="n">
        <v>0</v>
      </c>
      <c r="N63" t="n">
        <v>0</v>
      </c>
      <c r="O63" t="n">
        <v>3</v>
      </c>
      <c r="P63" t="n">
        <v>0</v>
      </c>
      <c r="Q63" t="n">
        <v>3</v>
      </c>
      <c r="R63" s="2" t="inlineStr">
        <is>
          <t>Garnlav
Lunglav
Rosenticka</t>
        </is>
      </c>
      <c r="S63">
        <f>HYPERLINK("https://klasma.github.io/Logging_ARE/artfynd/A 24163-2019.xlsx", "A 24163-2019")</f>
        <v/>
      </c>
      <c r="T63">
        <f>HYPERLINK("https://klasma.github.io/Logging_ARE/kartor/A 24163-2019.png", "A 24163-2019")</f>
        <v/>
      </c>
      <c r="V63">
        <f>HYPERLINK("https://klasma.github.io/Logging_ARE/klagomål/A 24163-2019.docx", "A 24163-2019")</f>
        <v/>
      </c>
      <c r="W63">
        <f>HYPERLINK("https://klasma.github.io/Logging_ARE/klagomålsmail/A 24163-2019.docx", "A 24163-2019")</f>
        <v/>
      </c>
      <c r="X63">
        <f>HYPERLINK("https://klasma.github.io/Logging_ARE/tillsyn/A 24163-2019.docx", "A 24163-2019")</f>
        <v/>
      </c>
      <c r="Y63">
        <f>HYPERLINK("https://klasma.github.io/Logging_ARE/tillsynsmail/A 24163-2019.docx", "A 24163-2019")</f>
        <v/>
      </c>
    </row>
    <row r="64" ht="15" customHeight="1">
      <c r="A64" t="inlineStr">
        <is>
          <t>A 29082-2020</t>
        </is>
      </c>
      <c r="B64" s="1" t="n">
        <v>44002</v>
      </c>
      <c r="C64" s="1" t="n">
        <v>45202</v>
      </c>
      <c r="D64" t="inlineStr">
        <is>
          <t>JÄMTLANDS LÄN</t>
        </is>
      </c>
      <c r="E64" t="inlineStr">
        <is>
          <t>ÅRE</t>
        </is>
      </c>
      <c r="G64" t="n">
        <v>3.1</v>
      </c>
      <c r="H64" t="n">
        <v>1</v>
      </c>
      <c r="I64" t="n">
        <v>0</v>
      </c>
      <c r="J64" t="n">
        <v>2</v>
      </c>
      <c r="K64" t="n">
        <v>0</v>
      </c>
      <c r="L64" t="n">
        <v>0</v>
      </c>
      <c r="M64" t="n">
        <v>0</v>
      </c>
      <c r="N64" t="n">
        <v>0</v>
      </c>
      <c r="O64" t="n">
        <v>2</v>
      </c>
      <c r="P64" t="n">
        <v>0</v>
      </c>
      <c r="Q64" t="n">
        <v>3</v>
      </c>
      <c r="R64" s="2" t="inlineStr">
        <is>
          <t>Garnlav
Granticka
Fläcknycklar</t>
        </is>
      </c>
      <c r="S64">
        <f>HYPERLINK("https://klasma.github.io/Logging_ARE/artfynd/A 29082-2020.xlsx", "A 29082-2020")</f>
        <v/>
      </c>
      <c r="T64">
        <f>HYPERLINK("https://klasma.github.io/Logging_ARE/kartor/A 29082-2020.png", "A 29082-2020")</f>
        <v/>
      </c>
      <c r="V64">
        <f>HYPERLINK("https://klasma.github.io/Logging_ARE/klagomål/A 29082-2020.docx", "A 29082-2020")</f>
        <v/>
      </c>
      <c r="W64">
        <f>HYPERLINK("https://klasma.github.io/Logging_ARE/klagomålsmail/A 29082-2020.docx", "A 29082-2020")</f>
        <v/>
      </c>
      <c r="X64">
        <f>HYPERLINK("https://klasma.github.io/Logging_ARE/tillsyn/A 29082-2020.docx", "A 29082-2020")</f>
        <v/>
      </c>
      <c r="Y64">
        <f>HYPERLINK("https://klasma.github.io/Logging_ARE/tillsynsmail/A 29082-2020.docx", "A 29082-2020")</f>
        <v/>
      </c>
    </row>
    <row r="65" ht="15" customHeight="1">
      <c r="A65" t="inlineStr">
        <is>
          <t>A 54743-2020</t>
        </is>
      </c>
      <c r="B65" s="1" t="n">
        <v>44127</v>
      </c>
      <c r="C65" s="1" t="n">
        <v>45202</v>
      </c>
      <c r="D65" t="inlineStr">
        <is>
          <t>JÄMTLANDS LÄN</t>
        </is>
      </c>
      <c r="E65" t="inlineStr">
        <is>
          <t>ÅRE</t>
        </is>
      </c>
      <c r="G65" t="n">
        <v>3.4</v>
      </c>
      <c r="H65" t="n">
        <v>0</v>
      </c>
      <c r="I65" t="n">
        <v>2</v>
      </c>
      <c r="J65" t="n">
        <v>1</v>
      </c>
      <c r="K65" t="n">
        <v>0</v>
      </c>
      <c r="L65" t="n">
        <v>0</v>
      </c>
      <c r="M65" t="n">
        <v>0</v>
      </c>
      <c r="N65" t="n">
        <v>0</v>
      </c>
      <c r="O65" t="n">
        <v>1</v>
      </c>
      <c r="P65" t="n">
        <v>0</v>
      </c>
      <c r="Q65" t="n">
        <v>3</v>
      </c>
      <c r="R65" s="2" t="inlineStr">
        <is>
          <t>Dofttaggsvamp
Kryddspindling
Svavelriska</t>
        </is>
      </c>
      <c r="S65">
        <f>HYPERLINK("https://klasma.github.io/Logging_ARE/artfynd/A 54743-2020.xlsx", "A 54743-2020")</f>
        <v/>
      </c>
      <c r="T65">
        <f>HYPERLINK("https://klasma.github.io/Logging_ARE/kartor/A 54743-2020.png", "A 54743-2020")</f>
        <v/>
      </c>
      <c r="V65">
        <f>HYPERLINK("https://klasma.github.io/Logging_ARE/klagomål/A 54743-2020.docx", "A 54743-2020")</f>
        <v/>
      </c>
      <c r="W65">
        <f>HYPERLINK("https://klasma.github.io/Logging_ARE/klagomålsmail/A 54743-2020.docx", "A 54743-2020")</f>
        <v/>
      </c>
      <c r="X65">
        <f>HYPERLINK("https://klasma.github.io/Logging_ARE/tillsyn/A 54743-2020.docx", "A 54743-2020")</f>
        <v/>
      </c>
      <c r="Y65">
        <f>HYPERLINK("https://klasma.github.io/Logging_ARE/tillsynsmail/A 54743-2020.docx", "A 54743-2020")</f>
        <v/>
      </c>
    </row>
    <row r="66" ht="15" customHeight="1">
      <c r="A66" t="inlineStr">
        <is>
          <t>A 54988-2020</t>
        </is>
      </c>
      <c r="B66" s="1" t="n">
        <v>44130</v>
      </c>
      <c r="C66" s="1" t="n">
        <v>45202</v>
      </c>
      <c r="D66" t="inlineStr">
        <is>
          <t>JÄMTLANDS LÄN</t>
        </is>
      </c>
      <c r="E66" t="inlineStr">
        <is>
          <t>ÅRE</t>
        </is>
      </c>
      <c r="G66" t="n">
        <v>13.2</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54988-2020.xlsx", "A 54988-2020")</f>
        <v/>
      </c>
      <c r="T66">
        <f>HYPERLINK("https://klasma.github.io/Logging_ARE/kartor/A 54988-2020.png", "A 54988-2020")</f>
        <v/>
      </c>
      <c r="V66">
        <f>HYPERLINK("https://klasma.github.io/Logging_ARE/klagomål/A 54988-2020.docx", "A 54988-2020")</f>
        <v/>
      </c>
      <c r="W66">
        <f>HYPERLINK("https://klasma.github.io/Logging_ARE/klagomålsmail/A 54988-2020.docx", "A 54988-2020")</f>
        <v/>
      </c>
      <c r="X66">
        <f>HYPERLINK("https://klasma.github.io/Logging_ARE/tillsyn/A 54988-2020.docx", "A 54988-2020")</f>
        <v/>
      </c>
      <c r="Y66">
        <f>HYPERLINK("https://klasma.github.io/Logging_ARE/tillsynsmail/A 54988-2020.docx", "A 54988-2020")</f>
        <v/>
      </c>
    </row>
    <row r="67" ht="15" customHeight="1">
      <c r="A67" t="inlineStr">
        <is>
          <t>A 61189-2020</t>
        </is>
      </c>
      <c r="B67" s="1" t="n">
        <v>44155</v>
      </c>
      <c r="C67" s="1" t="n">
        <v>45202</v>
      </c>
      <c r="D67" t="inlineStr">
        <is>
          <t>JÄMTLANDS LÄN</t>
        </is>
      </c>
      <c r="E67" t="inlineStr">
        <is>
          <t>ÅRE</t>
        </is>
      </c>
      <c r="F67" t="inlineStr">
        <is>
          <t>Övriga Aktiebolag</t>
        </is>
      </c>
      <c r="G67" t="n">
        <v>26.5</v>
      </c>
      <c r="H67" t="n">
        <v>0</v>
      </c>
      <c r="I67" t="n">
        <v>0</v>
      </c>
      <c r="J67" t="n">
        <v>3</v>
      </c>
      <c r="K67" t="n">
        <v>0</v>
      </c>
      <c r="L67" t="n">
        <v>0</v>
      </c>
      <c r="M67" t="n">
        <v>0</v>
      </c>
      <c r="N67" t="n">
        <v>0</v>
      </c>
      <c r="O67" t="n">
        <v>3</v>
      </c>
      <c r="P67" t="n">
        <v>0</v>
      </c>
      <c r="Q67" t="n">
        <v>3</v>
      </c>
      <c r="R67" s="2" t="inlineStr">
        <is>
          <t>Gammelgransskål
Garnlav
Gränsticka</t>
        </is>
      </c>
      <c r="S67">
        <f>HYPERLINK("https://klasma.github.io/Logging_ARE/artfynd/A 61189-2020.xlsx", "A 61189-2020")</f>
        <v/>
      </c>
      <c r="T67">
        <f>HYPERLINK("https://klasma.github.io/Logging_ARE/kartor/A 61189-2020.png", "A 61189-2020")</f>
        <v/>
      </c>
      <c r="V67">
        <f>HYPERLINK("https://klasma.github.io/Logging_ARE/klagomål/A 61189-2020.docx", "A 61189-2020")</f>
        <v/>
      </c>
      <c r="W67">
        <f>HYPERLINK("https://klasma.github.io/Logging_ARE/klagomålsmail/A 61189-2020.docx", "A 61189-2020")</f>
        <v/>
      </c>
      <c r="X67">
        <f>HYPERLINK("https://klasma.github.io/Logging_ARE/tillsyn/A 61189-2020.docx", "A 61189-2020")</f>
        <v/>
      </c>
      <c r="Y67">
        <f>HYPERLINK("https://klasma.github.io/Logging_ARE/tillsynsmail/A 61189-2020.docx", "A 61189-2020")</f>
        <v/>
      </c>
    </row>
    <row r="68" ht="15" customHeight="1">
      <c r="A68" t="inlineStr">
        <is>
          <t>A 10773-2021</t>
        </is>
      </c>
      <c r="B68" s="1" t="n">
        <v>44259</v>
      </c>
      <c r="C68" s="1" t="n">
        <v>45202</v>
      </c>
      <c r="D68" t="inlineStr">
        <is>
          <t>JÄMTLANDS LÄN</t>
        </is>
      </c>
      <c r="E68" t="inlineStr">
        <is>
          <t>ÅRE</t>
        </is>
      </c>
      <c r="G68" t="n">
        <v>22.9</v>
      </c>
      <c r="H68" t="n">
        <v>1</v>
      </c>
      <c r="I68" t="n">
        <v>0</v>
      </c>
      <c r="J68" t="n">
        <v>3</v>
      </c>
      <c r="K68" t="n">
        <v>0</v>
      </c>
      <c r="L68" t="n">
        <v>0</v>
      </c>
      <c r="M68" t="n">
        <v>0</v>
      </c>
      <c r="N68" t="n">
        <v>0</v>
      </c>
      <c r="O68" t="n">
        <v>3</v>
      </c>
      <c r="P68" t="n">
        <v>0</v>
      </c>
      <c r="Q68" t="n">
        <v>3</v>
      </c>
      <c r="R68" s="2" t="inlineStr">
        <is>
          <t>Garnlav
Granticka
Tretåig hackspett</t>
        </is>
      </c>
      <c r="S68">
        <f>HYPERLINK("https://klasma.github.io/Logging_ARE/artfynd/A 10773-2021.xlsx", "A 10773-2021")</f>
        <v/>
      </c>
      <c r="T68">
        <f>HYPERLINK("https://klasma.github.io/Logging_ARE/kartor/A 10773-2021.png", "A 10773-2021")</f>
        <v/>
      </c>
      <c r="V68">
        <f>HYPERLINK("https://klasma.github.io/Logging_ARE/klagomål/A 10773-2021.docx", "A 10773-2021")</f>
        <v/>
      </c>
      <c r="W68">
        <f>HYPERLINK("https://klasma.github.io/Logging_ARE/klagomålsmail/A 10773-2021.docx", "A 10773-2021")</f>
        <v/>
      </c>
      <c r="X68">
        <f>HYPERLINK("https://klasma.github.io/Logging_ARE/tillsyn/A 10773-2021.docx", "A 10773-2021")</f>
        <v/>
      </c>
      <c r="Y68">
        <f>HYPERLINK("https://klasma.github.io/Logging_ARE/tillsynsmail/A 10773-2021.docx", "A 10773-2021")</f>
        <v/>
      </c>
    </row>
    <row r="69" ht="15" customHeight="1">
      <c r="A69" t="inlineStr">
        <is>
          <t>A 14198-2021</t>
        </is>
      </c>
      <c r="B69" s="1" t="n">
        <v>44278</v>
      </c>
      <c r="C69" s="1" t="n">
        <v>45202</v>
      </c>
      <c r="D69" t="inlineStr">
        <is>
          <t>JÄMTLANDS LÄN</t>
        </is>
      </c>
      <c r="E69" t="inlineStr">
        <is>
          <t>ÅRE</t>
        </is>
      </c>
      <c r="G69" t="n">
        <v>28.4</v>
      </c>
      <c r="H69" t="n">
        <v>1</v>
      </c>
      <c r="I69" t="n">
        <v>1</v>
      </c>
      <c r="J69" t="n">
        <v>2</v>
      </c>
      <c r="K69" t="n">
        <v>0</v>
      </c>
      <c r="L69" t="n">
        <v>0</v>
      </c>
      <c r="M69" t="n">
        <v>0</v>
      </c>
      <c r="N69" t="n">
        <v>0</v>
      </c>
      <c r="O69" t="n">
        <v>2</v>
      </c>
      <c r="P69" t="n">
        <v>0</v>
      </c>
      <c r="Q69" t="n">
        <v>3</v>
      </c>
      <c r="R69" s="2" t="inlineStr">
        <is>
          <t>Skrovellav
Tretåig hackspett
Stuplav</t>
        </is>
      </c>
      <c r="S69">
        <f>HYPERLINK("https://klasma.github.io/Logging_ARE/artfynd/A 14198-2021.xlsx", "A 14198-2021")</f>
        <v/>
      </c>
      <c r="T69">
        <f>HYPERLINK("https://klasma.github.io/Logging_ARE/kartor/A 14198-2021.png", "A 14198-2021")</f>
        <v/>
      </c>
      <c r="V69">
        <f>HYPERLINK("https://klasma.github.io/Logging_ARE/klagomål/A 14198-2021.docx", "A 14198-2021")</f>
        <v/>
      </c>
      <c r="W69">
        <f>HYPERLINK("https://klasma.github.io/Logging_ARE/klagomålsmail/A 14198-2021.docx", "A 14198-2021")</f>
        <v/>
      </c>
      <c r="X69">
        <f>HYPERLINK("https://klasma.github.io/Logging_ARE/tillsyn/A 14198-2021.docx", "A 14198-2021")</f>
        <v/>
      </c>
      <c r="Y69">
        <f>HYPERLINK("https://klasma.github.io/Logging_ARE/tillsynsmail/A 14198-2021.docx", "A 14198-2021")</f>
        <v/>
      </c>
    </row>
    <row r="70" ht="15" customHeight="1">
      <c r="A70" t="inlineStr">
        <is>
          <t>A 23572-2021</t>
        </is>
      </c>
      <c r="B70" s="1" t="n">
        <v>44334</v>
      </c>
      <c r="C70" s="1" t="n">
        <v>45202</v>
      </c>
      <c r="D70" t="inlineStr">
        <is>
          <t>JÄMTLANDS LÄN</t>
        </is>
      </c>
      <c r="E70" t="inlineStr">
        <is>
          <t>ÅRE</t>
        </is>
      </c>
      <c r="G70" t="n">
        <v>1.6</v>
      </c>
      <c r="H70" t="n">
        <v>0</v>
      </c>
      <c r="I70" t="n">
        <v>1</v>
      </c>
      <c r="J70" t="n">
        <v>2</v>
      </c>
      <c r="K70" t="n">
        <v>0</v>
      </c>
      <c r="L70" t="n">
        <v>0</v>
      </c>
      <c r="M70" t="n">
        <v>0</v>
      </c>
      <c r="N70" t="n">
        <v>0</v>
      </c>
      <c r="O70" t="n">
        <v>2</v>
      </c>
      <c r="P70" t="n">
        <v>0</v>
      </c>
      <c r="Q70" t="n">
        <v>3</v>
      </c>
      <c r="R70" s="2" t="inlineStr">
        <is>
          <t>Garnlav
Skrovellav
Stuplav</t>
        </is>
      </c>
      <c r="S70">
        <f>HYPERLINK("https://klasma.github.io/Logging_ARE/artfynd/A 23572-2021.xlsx", "A 23572-2021")</f>
        <v/>
      </c>
      <c r="T70">
        <f>HYPERLINK("https://klasma.github.io/Logging_ARE/kartor/A 23572-2021.png", "A 23572-2021")</f>
        <v/>
      </c>
      <c r="V70">
        <f>HYPERLINK("https://klasma.github.io/Logging_ARE/klagomål/A 23572-2021.docx", "A 23572-2021")</f>
        <v/>
      </c>
      <c r="W70">
        <f>HYPERLINK("https://klasma.github.io/Logging_ARE/klagomålsmail/A 23572-2021.docx", "A 23572-2021")</f>
        <v/>
      </c>
      <c r="X70">
        <f>HYPERLINK("https://klasma.github.io/Logging_ARE/tillsyn/A 23572-2021.docx", "A 23572-2021")</f>
        <v/>
      </c>
      <c r="Y70">
        <f>HYPERLINK("https://klasma.github.io/Logging_ARE/tillsynsmail/A 23572-2021.docx", "A 23572-2021")</f>
        <v/>
      </c>
    </row>
    <row r="71" ht="15" customHeight="1">
      <c r="A71" t="inlineStr">
        <is>
          <t>A 72934-2021</t>
        </is>
      </c>
      <c r="B71" s="1" t="n">
        <v>44547</v>
      </c>
      <c r="C71" s="1" t="n">
        <v>45202</v>
      </c>
      <c r="D71" t="inlineStr">
        <is>
          <t>JÄMTLANDS LÄN</t>
        </is>
      </c>
      <c r="E71" t="inlineStr">
        <is>
          <t>ÅRE</t>
        </is>
      </c>
      <c r="G71" t="n">
        <v>31.9</v>
      </c>
      <c r="H71" t="n">
        <v>0</v>
      </c>
      <c r="I71" t="n">
        <v>0</v>
      </c>
      <c r="J71" t="n">
        <v>3</v>
      </c>
      <c r="K71" t="n">
        <v>0</v>
      </c>
      <c r="L71" t="n">
        <v>0</v>
      </c>
      <c r="M71" t="n">
        <v>0</v>
      </c>
      <c r="N71" t="n">
        <v>0</v>
      </c>
      <c r="O71" t="n">
        <v>3</v>
      </c>
      <c r="P71" t="n">
        <v>0</v>
      </c>
      <c r="Q71" t="n">
        <v>3</v>
      </c>
      <c r="R71" s="2" t="inlineStr">
        <is>
          <t>Gränsticka
Skrovellav
Stjärntagging</t>
        </is>
      </c>
      <c r="S71">
        <f>HYPERLINK("https://klasma.github.io/Logging_ARE/artfynd/A 72934-2021.xlsx", "A 72934-2021")</f>
        <v/>
      </c>
      <c r="T71">
        <f>HYPERLINK("https://klasma.github.io/Logging_ARE/kartor/A 72934-2021.png", "A 72934-2021")</f>
        <v/>
      </c>
      <c r="V71">
        <f>HYPERLINK("https://klasma.github.io/Logging_ARE/klagomål/A 72934-2021.docx", "A 72934-2021")</f>
        <v/>
      </c>
      <c r="W71">
        <f>HYPERLINK("https://klasma.github.io/Logging_ARE/klagomålsmail/A 72934-2021.docx", "A 72934-2021")</f>
        <v/>
      </c>
      <c r="X71">
        <f>HYPERLINK("https://klasma.github.io/Logging_ARE/tillsyn/A 72934-2021.docx", "A 72934-2021")</f>
        <v/>
      </c>
      <c r="Y71">
        <f>HYPERLINK("https://klasma.github.io/Logging_ARE/tillsynsmail/A 72934-2021.docx", "A 72934-2021")</f>
        <v/>
      </c>
    </row>
    <row r="72" ht="15" customHeight="1">
      <c r="A72" t="inlineStr">
        <is>
          <t>A 12269-2022</t>
        </is>
      </c>
      <c r="B72" s="1" t="n">
        <v>44637</v>
      </c>
      <c r="C72" s="1" t="n">
        <v>45202</v>
      </c>
      <c r="D72" t="inlineStr">
        <is>
          <t>JÄMTLANDS LÄN</t>
        </is>
      </c>
      <c r="E72" t="inlineStr">
        <is>
          <t>ÅRE</t>
        </is>
      </c>
      <c r="G72" t="n">
        <v>16.6</v>
      </c>
      <c r="H72" t="n">
        <v>0</v>
      </c>
      <c r="I72" t="n">
        <v>0</v>
      </c>
      <c r="J72" t="n">
        <v>3</v>
      </c>
      <c r="K72" t="n">
        <v>0</v>
      </c>
      <c r="L72" t="n">
        <v>0</v>
      </c>
      <c r="M72" t="n">
        <v>0</v>
      </c>
      <c r="N72" t="n">
        <v>0</v>
      </c>
      <c r="O72" t="n">
        <v>3</v>
      </c>
      <c r="P72" t="n">
        <v>0</v>
      </c>
      <c r="Q72" t="n">
        <v>3</v>
      </c>
      <c r="R72" s="2" t="inlineStr">
        <is>
          <t>Gammelgransskål
Granticka
Knottrig blåslav</t>
        </is>
      </c>
      <c r="S72">
        <f>HYPERLINK("https://klasma.github.io/Logging_ARE/artfynd/A 12269-2022.xlsx", "A 12269-2022")</f>
        <v/>
      </c>
      <c r="T72">
        <f>HYPERLINK("https://klasma.github.io/Logging_ARE/kartor/A 12269-2022.png", "A 12269-2022")</f>
        <v/>
      </c>
      <c r="V72">
        <f>HYPERLINK("https://klasma.github.io/Logging_ARE/klagomål/A 12269-2022.docx", "A 12269-2022")</f>
        <v/>
      </c>
      <c r="W72">
        <f>HYPERLINK("https://klasma.github.io/Logging_ARE/klagomålsmail/A 12269-2022.docx", "A 12269-2022")</f>
        <v/>
      </c>
      <c r="X72">
        <f>HYPERLINK("https://klasma.github.io/Logging_ARE/tillsyn/A 12269-2022.docx", "A 12269-2022")</f>
        <v/>
      </c>
      <c r="Y72">
        <f>HYPERLINK("https://klasma.github.io/Logging_ARE/tillsynsmail/A 12269-2022.docx", "A 12269-2022")</f>
        <v/>
      </c>
    </row>
    <row r="73" ht="15" customHeight="1">
      <c r="A73" t="inlineStr">
        <is>
          <t>A 49848-2022</t>
        </is>
      </c>
      <c r="B73" s="1" t="n">
        <v>44862</v>
      </c>
      <c r="C73" s="1" t="n">
        <v>45202</v>
      </c>
      <c r="D73" t="inlineStr">
        <is>
          <t>JÄMTLANDS LÄN</t>
        </is>
      </c>
      <c r="E73" t="inlineStr">
        <is>
          <t>ÅRE</t>
        </is>
      </c>
      <c r="F73" t="inlineStr">
        <is>
          <t>Övriga Aktiebolag</t>
        </is>
      </c>
      <c r="G73" t="n">
        <v>21.4</v>
      </c>
      <c r="H73" t="n">
        <v>1</v>
      </c>
      <c r="I73" t="n">
        <v>0</v>
      </c>
      <c r="J73" t="n">
        <v>3</v>
      </c>
      <c r="K73" t="n">
        <v>0</v>
      </c>
      <c r="L73" t="n">
        <v>0</v>
      </c>
      <c r="M73" t="n">
        <v>0</v>
      </c>
      <c r="N73" t="n">
        <v>0</v>
      </c>
      <c r="O73" t="n">
        <v>3</v>
      </c>
      <c r="P73" t="n">
        <v>0</v>
      </c>
      <c r="Q73" t="n">
        <v>3</v>
      </c>
      <c r="R73" s="2" t="inlineStr">
        <is>
          <t>Skrovellav
Tretåig hackspett
Vitskaftad svartspik</t>
        </is>
      </c>
      <c r="S73">
        <f>HYPERLINK("https://klasma.github.io/Logging_ARE/artfynd/A 49848-2022.xlsx", "A 49848-2022")</f>
        <v/>
      </c>
      <c r="T73">
        <f>HYPERLINK("https://klasma.github.io/Logging_ARE/kartor/A 49848-2022.png", "A 49848-2022")</f>
        <v/>
      </c>
      <c r="V73">
        <f>HYPERLINK("https://klasma.github.io/Logging_ARE/klagomål/A 49848-2022.docx", "A 49848-2022")</f>
        <v/>
      </c>
      <c r="W73">
        <f>HYPERLINK("https://klasma.github.io/Logging_ARE/klagomålsmail/A 49848-2022.docx", "A 49848-2022")</f>
        <v/>
      </c>
      <c r="X73">
        <f>HYPERLINK("https://klasma.github.io/Logging_ARE/tillsyn/A 49848-2022.docx", "A 49848-2022")</f>
        <v/>
      </c>
      <c r="Y73">
        <f>HYPERLINK("https://klasma.github.io/Logging_ARE/tillsynsmail/A 49848-2022.docx", "A 49848-2022")</f>
        <v/>
      </c>
    </row>
    <row r="74" ht="15" customHeight="1">
      <c r="A74" t="inlineStr">
        <is>
          <t>A 56183-2022</t>
        </is>
      </c>
      <c r="B74" s="1" t="n">
        <v>44889</v>
      </c>
      <c r="C74" s="1" t="n">
        <v>45202</v>
      </c>
      <c r="D74" t="inlineStr">
        <is>
          <t>JÄMTLANDS LÄN</t>
        </is>
      </c>
      <c r="E74" t="inlineStr">
        <is>
          <t>ÅRE</t>
        </is>
      </c>
      <c r="G74" t="n">
        <v>29.8</v>
      </c>
      <c r="H74" t="n">
        <v>1</v>
      </c>
      <c r="I74" t="n">
        <v>0</v>
      </c>
      <c r="J74" t="n">
        <v>3</v>
      </c>
      <c r="K74" t="n">
        <v>0</v>
      </c>
      <c r="L74" t="n">
        <v>0</v>
      </c>
      <c r="M74" t="n">
        <v>0</v>
      </c>
      <c r="N74" t="n">
        <v>0</v>
      </c>
      <c r="O74" t="n">
        <v>3</v>
      </c>
      <c r="P74" t="n">
        <v>0</v>
      </c>
      <c r="Q74" t="n">
        <v>3</v>
      </c>
      <c r="R74" s="2" t="inlineStr">
        <is>
          <t>Granticka
Skrovellav
Tretåig hackspett</t>
        </is>
      </c>
      <c r="S74">
        <f>HYPERLINK("https://klasma.github.io/Logging_ARE/artfynd/A 56183-2022.xlsx", "A 56183-2022")</f>
        <v/>
      </c>
      <c r="T74">
        <f>HYPERLINK("https://klasma.github.io/Logging_ARE/kartor/A 56183-2022.png", "A 56183-2022")</f>
        <v/>
      </c>
      <c r="V74">
        <f>HYPERLINK("https://klasma.github.io/Logging_ARE/klagomål/A 56183-2022.docx", "A 56183-2022")</f>
        <v/>
      </c>
      <c r="W74">
        <f>HYPERLINK("https://klasma.github.io/Logging_ARE/klagomålsmail/A 56183-2022.docx", "A 56183-2022")</f>
        <v/>
      </c>
      <c r="X74">
        <f>HYPERLINK("https://klasma.github.io/Logging_ARE/tillsyn/A 56183-2022.docx", "A 56183-2022")</f>
        <v/>
      </c>
      <c r="Y74">
        <f>HYPERLINK("https://klasma.github.io/Logging_ARE/tillsynsmail/A 56183-2022.docx", "A 56183-2022")</f>
        <v/>
      </c>
    </row>
    <row r="75" ht="15" customHeight="1">
      <c r="A75" t="inlineStr">
        <is>
          <t>A 58082-2022</t>
        </is>
      </c>
      <c r="B75" s="1" t="n">
        <v>44900</v>
      </c>
      <c r="C75" s="1" t="n">
        <v>45202</v>
      </c>
      <c r="D75" t="inlineStr">
        <is>
          <t>JÄMTLANDS LÄN</t>
        </is>
      </c>
      <c r="E75" t="inlineStr">
        <is>
          <t>ÅRE</t>
        </is>
      </c>
      <c r="G75" t="n">
        <v>28.2</v>
      </c>
      <c r="H75" t="n">
        <v>2</v>
      </c>
      <c r="I75" t="n">
        <v>1</v>
      </c>
      <c r="J75" t="n">
        <v>2</v>
      </c>
      <c r="K75" t="n">
        <v>0</v>
      </c>
      <c r="L75" t="n">
        <v>0</v>
      </c>
      <c r="M75" t="n">
        <v>0</v>
      </c>
      <c r="N75" t="n">
        <v>0</v>
      </c>
      <c r="O75" t="n">
        <v>2</v>
      </c>
      <c r="P75" t="n">
        <v>0</v>
      </c>
      <c r="Q75" t="n">
        <v>3</v>
      </c>
      <c r="R75" s="2" t="inlineStr">
        <is>
          <t>Spillkråka
Tretåig hackspett
Kambräken</t>
        </is>
      </c>
      <c r="S75">
        <f>HYPERLINK("https://klasma.github.io/Logging_ARE/artfynd/A 58082-2022.xlsx", "A 58082-2022")</f>
        <v/>
      </c>
      <c r="T75">
        <f>HYPERLINK("https://klasma.github.io/Logging_ARE/kartor/A 58082-2022.png", "A 58082-2022")</f>
        <v/>
      </c>
      <c r="V75">
        <f>HYPERLINK("https://klasma.github.io/Logging_ARE/klagomål/A 58082-2022.docx", "A 58082-2022")</f>
        <v/>
      </c>
      <c r="W75">
        <f>HYPERLINK("https://klasma.github.io/Logging_ARE/klagomålsmail/A 58082-2022.docx", "A 58082-2022")</f>
        <v/>
      </c>
      <c r="X75">
        <f>HYPERLINK("https://klasma.github.io/Logging_ARE/tillsyn/A 58082-2022.docx", "A 58082-2022")</f>
        <v/>
      </c>
      <c r="Y75">
        <f>HYPERLINK("https://klasma.github.io/Logging_ARE/tillsynsmail/A 58082-2022.docx", "A 58082-2022")</f>
        <v/>
      </c>
    </row>
    <row r="76" ht="15" customHeight="1">
      <c r="A76" t="inlineStr">
        <is>
          <t>A 59237-2022</t>
        </is>
      </c>
      <c r="B76" s="1" t="n">
        <v>44904</v>
      </c>
      <c r="C76" s="1" t="n">
        <v>45202</v>
      </c>
      <c r="D76" t="inlineStr">
        <is>
          <t>JÄMTLANDS LÄN</t>
        </is>
      </c>
      <c r="E76" t="inlineStr">
        <is>
          <t>ÅRE</t>
        </is>
      </c>
      <c r="G76" t="n">
        <v>33.7</v>
      </c>
      <c r="H76" t="n">
        <v>1</v>
      </c>
      <c r="I76" t="n">
        <v>0</v>
      </c>
      <c r="J76" t="n">
        <v>3</v>
      </c>
      <c r="K76" t="n">
        <v>0</v>
      </c>
      <c r="L76" t="n">
        <v>0</v>
      </c>
      <c r="M76" t="n">
        <v>0</v>
      </c>
      <c r="N76" t="n">
        <v>0</v>
      </c>
      <c r="O76" t="n">
        <v>3</v>
      </c>
      <c r="P76" t="n">
        <v>0</v>
      </c>
      <c r="Q76" t="n">
        <v>3</v>
      </c>
      <c r="R76" s="2" t="inlineStr">
        <is>
          <t>Granticka
Tretåig hackspett
Vitgrynig nållav</t>
        </is>
      </c>
      <c r="S76">
        <f>HYPERLINK("https://klasma.github.io/Logging_ARE/artfynd/A 59237-2022.xlsx", "A 59237-2022")</f>
        <v/>
      </c>
      <c r="T76">
        <f>HYPERLINK("https://klasma.github.io/Logging_ARE/kartor/A 59237-2022.png", "A 59237-2022")</f>
        <v/>
      </c>
      <c r="V76">
        <f>HYPERLINK("https://klasma.github.io/Logging_ARE/klagomål/A 59237-2022.docx", "A 59237-2022")</f>
        <v/>
      </c>
      <c r="W76">
        <f>HYPERLINK("https://klasma.github.io/Logging_ARE/klagomålsmail/A 59237-2022.docx", "A 59237-2022")</f>
        <v/>
      </c>
      <c r="X76">
        <f>HYPERLINK("https://klasma.github.io/Logging_ARE/tillsyn/A 59237-2022.docx", "A 59237-2022")</f>
        <v/>
      </c>
      <c r="Y76">
        <f>HYPERLINK("https://klasma.github.io/Logging_ARE/tillsynsmail/A 59237-2022.docx", "A 59237-2022")</f>
        <v/>
      </c>
    </row>
    <row r="77" ht="15" customHeight="1">
      <c r="A77" t="inlineStr">
        <is>
          <t>A 8438-2023</t>
        </is>
      </c>
      <c r="B77" s="1" t="n">
        <v>44977</v>
      </c>
      <c r="C77" s="1" t="n">
        <v>45202</v>
      </c>
      <c r="D77" t="inlineStr">
        <is>
          <t>JÄMTLANDS LÄN</t>
        </is>
      </c>
      <c r="E77" t="inlineStr">
        <is>
          <t>ÅRE</t>
        </is>
      </c>
      <c r="F77" t="inlineStr">
        <is>
          <t>Övriga Aktiebolag</t>
        </is>
      </c>
      <c r="G77" t="n">
        <v>0.6</v>
      </c>
      <c r="H77" t="n">
        <v>1</v>
      </c>
      <c r="I77" t="n">
        <v>0</v>
      </c>
      <c r="J77" t="n">
        <v>3</v>
      </c>
      <c r="K77" t="n">
        <v>0</v>
      </c>
      <c r="L77" t="n">
        <v>0</v>
      </c>
      <c r="M77" t="n">
        <v>0</v>
      </c>
      <c r="N77" t="n">
        <v>0</v>
      </c>
      <c r="O77" t="n">
        <v>3</v>
      </c>
      <c r="P77" t="n">
        <v>0</v>
      </c>
      <c r="Q77" t="n">
        <v>3</v>
      </c>
      <c r="R77" s="2" t="inlineStr">
        <is>
          <t>Garnlav
Granticka
Tretåig hackspett</t>
        </is>
      </c>
      <c r="S77">
        <f>HYPERLINK("https://klasma.github.io/Logging_ARE/artfynd/A 8438-2023.xlsx", "A 8438-2023")</f>
        <v/>
      </c>
      <c r="T77">
        <f>HYPERLINK("https://klasma.github.io/Logging_ARE/kartor/A 8438-2023.png", "A 8438-2023")</f>
        <v/>
      </c>
      <c r="V77">
        <f>HYPERLINK("https://klasma.github.io/Logging_ARE/klagomål/A 8438-2023.docx", "A 8438-2023")</f>
        <v/>
      </c>
      <c r="W77">
        <f>HYPERLINK("https://klasma.github.io/Logging_ARE/klagomålsmail/A 8438-2023.docx", "A 8438-2023")</f>
        <v/>
      </c>
      <c r="X77">
        <f>HYPERLINK("https://klasma.github.io/Logging_ARE/tillsyn/A 8438-2023.docx", "A 8438-2023")</f>
        <v/>
      </c>
      <c r="Y77">
        <f>HYPERLINK("https://klasma.github.io/Logging_ARE/tillsynsmail/A 8438-2023.docx", "A 8438-2023")</f>
        <v/>
      </c>
    </row>
    <row r="78" ht="15" customHeight="1">
      <c r="A78" t="inlineStr">
        <is>
          <t>A 8470-2023</t>
        </is>
      </c>
      <c r="B78" s="1" t="n">
        <v>44977</v>
      </c>
      <c r="C78" s="1" t="n">
        <v>45202</v>
      </c>
      <c r="D78" t="inlineStr">
        <is>
          <t>JÄMTLANDS LÄN</t>
        </is>
      </c>
      <c r="E78" t="inlineStr">
        <is>
          <t>ÅRE</t>
        </is>
      </c>
      <c r="F78" t="inlineStr">
        <is>
          <t>Övriga Aktiebolag</t>
        </is>
      </c>
      <c r="G78" t="n">
        <v>8.699999999999999</v>
      </c>
      <c r="H78" t="n">
        <v>1</v>
      </c>
      <c r="I78" t="n">
        <v>1</v>
      </c>
      <c r="J78" t="n">
        <v>2</v>
      </c>
      <c r="K78" t="n">
        <v>0</v>
      </c>
      <c r="L78" t="n">
        <v>0</v>
      </c>
      <c r="M78" t="n">
        <v>0</v>
      </c>
      <c r="N78" t="n">
        <v>0</v>
      </c>
      <c r="O78" t="n">
        <v>2</v>
      </c>
      <c r="P78" t="n">
        <v>0</v>
      </c>
      <c r="Q78" t="n">
        <v>3</v>
      </c>
      <c r="R78" s="2" t="inlineStr">
        <is>
          <t>Granticka
Tretåig hackspett
Skinnlav</t>
        </is>
      </c>
      <c r="S78">
        <f>HYPERLINK("https://klasma.github.io/Logging_ARE/artfynd/A 8470-2023.xlsx", "A 8470-2023")</f>
        <v/>
      </c>
      <c r="T78">
        <f>HYPERLINK("https://klasma.github.io/Logging_ARE/kartor/A 8470-2023.png", "A 8470-2023")</f>
        <v/>
      </c>
      <c r="V78">
        <f>HYPERLINK("https://klasma.github.io/Logging_ARE/klagomål/A 8470-2023.docx", "A 8470-2023")</f>
        <v/>
      </c>
      <c r="W78">
        <f>HYPERLINK("https://klasma.github.io/Logging_ARE/klagomålsmail/A 8470-2023.docx", "A 8470-2023")</f>
        <v/>
      </c>
      <c r="X78">
        <f>HYPERLINK("https://klasma.github.io/Logging_ARE/tillsyn/A 8470-2023.docx", "A 8470-2023")</f>
        <v/>
      </c>
      <c r="Y78">
        <f>HYPERLINK("https://klasma.github.io/Logging_ARE/tillsynsmail/A 8470-2023.docx", "A 8470-2023")</f>
        <v/>
      </c>
    </row>
    <row r="79" ht="15" customHeight="1">
      <c r="A79" t="inlineStr">
        <is>
          <t>A 10627-2023</t>
        </is>
      </c>
      <c r="B79" s="1" t="n">
        <v>44984</v>
      </c>
      <c r="C79" s="1" t="n">
        <v>45202</v>
      </c>
      <c r="D79" t="inlineStr">
        <is>
          <t>JÄMTLANDS LÄN</t>
        </is>
      </c>
      <c r="E79" t="inlineStr">
        <is>
          <t>ÅRE</t>
        </is>
      </c>
      <c r="G79" t="n">
        <v>29.1</v>
      </c>
      <c r="H79" t="n">
        <v>1</v>
      </c>
      <c r="I79" t="n">
        <v>0</v>
      </c>
      <c r="J79" t="n">
        <v>3</v>
      </c>
      <c r="K79" t="n">
        <v>0</v>
      </c>
      <c r="L79" t="n">
        <v>0</v>
      </c>
      <c r="M79" t="n">
        <v>0</v>
      </c>
      <c r="N79" t="n">
        <v>0</v>
      </c>
      <c r="O79" t="n">
        <v>3</v>
      </c>
      <c r="P79" t="n">
        <v>0</v>
      </c>
      <c r="Q79" t="n">
        <v>3</v>
      </c>
      <c r="R79" s="2" t="inlineStr">
        <is>
          <t>Harticka
Tretåig hackspett
Vitgrynig nållav</t>
        </is>
      </c>
      <c r="S79">
        <f>HYPERLINK("https://klasma.github.io/Logging_ARE/artfynd/A 10627-2023.xlsx", "A 10627-2023")</f>
        <v/>
      </c>
      <c r="T79">
        <f>HYPERLINK("https://klasma.github.io/Logging_ARE/kartor/A 10627-2023.png", "A 10627-2023")</f>
        <v/>
      </c>
      <c r="V79">
        <f>HYPERLINK("https://klasma.github.io/Logging_ARE/klagomål/A 10627-2023.docx", "A 10627-2023")</f>
        <v/>
      </c>
      <c r="W79">
        <f>HYPERLINK("https://klasma.github.io/Logging_ARE/klagomålsmail/A 10627-2023.docx", "A 10627-2023")</f>
        <v/>
      </c>
      <c r="X79">
        <f>HYPERLINK("https://klasma.github.io/Logging_ARE/tillsyn/A 10627-2023.docx", "A 10627-2023")</f>
        <v/>
      </c>
      <c r="Y79">
        <f>HYPERLINK("https://klasma.github.io/Logging_ARE/tillsynsmail/A 10627-2023.docx", "A 10627-2023")</f>
        <v/>
      </c>
    </row>
    <row r="80" ht="15" customHeight="1">
      <c r="A80" t="inlineStr">
        <is>
          <t>A 20124-2023</t>
        </is>
      </c>
      <c r="B80" s="1" t="n">
        <v>45055</v>
      </c>
      <c r="C80" s="1" t="n">
        <v>45202</v>
      </c>
      <c r="D80" t="inlineStr">
        <is>
          <t>JÄMTLANDS LÄN</t>
        </is>
      </c>
      <c r="E80" t="inlineStr">
        <is>
          <t>ÅRE</t>
        </is>
      </c>
      <c r="G80" t="n">
        <v>3.4</v>
      </c>
      <c r="H80" t="n">
        <v>0</v>
      </c>
      <c r="I80" t="n">
        <v>3</v>
      </c>
      <c r="J80" t="n">
        <v>0</v>
      </c>
      <c r="K80" t="n">
        <v>0</v>
      </c>
      <c r="L80" t="n">
        <v>0</v>
      </c>
      <c r="M80" t="n">
        <v>0</v>
      </c>
      <c r="N80" t="n">
        <v>0</v>
      </c>
      <c r="O80" t="n">
        <v>0</v>
      </c>
      <c r="P80" t="n">
        <v>0</v>
      </c>
      <c r="Q80" t="n">
        <v>3</v>
      </c>
      <c r="R80" s="2" t="inlineStr">
        <is>
          <t>Finbräken
Svart trolldruva
Underviol</t>
        </is>
      </c>
      <c r="S80">
        <f>HYPERLINK("https://klasma.github.io/Logging_ARE/artfynd/A 20124-2023.xlsx", "A 20124-2023")</f>
        <v/>
      </c>
      <c r="T80">
        <f>HYPERLINK("https://klasma.github.io/Logging_ARE/kartor/A 20124-2023.png", "A 20124-2023")</f>
        <v/>
      </c>
      <c r="V80">
        <f>HYPERLINK("https://klasma.github.io/Logging_ARE/klagomål/A 20124-2023.docx", "A 20124-2023")</f>
        <v/>
      </c>
      <c r="W80">
        <f>HYPERLINK("https://klasma.github.io/Logging_ARE/klagomålsmail/A 20124-2023.docx", "A 20124-2023")</f>
        <v/>
      </c>
      <c r="X80">
        <f>HYPERLINK("https://klasma.github.io/Logging_ARE/tillsyn/A 20124-2023.docx", "A 20124-2023")</f>
        <v/>
      </c>
      <c r="Y80">
        <f>HYPERLINK("https://klasma.github.io/Logging_ARE/tillsynsmail/A 20124-2023.docx", "A 20124-2023")</f>
        <v/>
      </c>
    </row>
    <row r="81" ht="15" customHeight="1">
      <c r="A81" t="inlineStr">
        <is>
          <t>A 23638-2023</t>
        </is>
      </c>
      <c r="B81" s="1" t="n">
        <v>45072</v>
      </c>
      <c r="C81" s="1" t="n">
        <v>45202</v>
      </c>
      <c r="D81" t="inlineStr">
        <is>
          <t>JÄMTLANDS LÄN</t>
        </is>
      </c>
      <c r="E81" t="inlineStr">
        <is>
          <t>ÅRE</t>
        </is>
      </c>
      <c r="G81" t="n">
        <v>11.2</v>
      </c>
      <c r="H81" t="n">
        <v>1</v>
      </c>
      <c r="I81" t="n">
        <v>0</v>
      </c>
      <c r="J81" t="n">
        <v>3</v>
      </c>
      <c r="K81" t="n">
        <v>0</v>
      </c>
      <c r="L81" t="n">
        <v>0</v>
      </c>
      <c r="M81" t="n">
        <v>0</v>
      </c>
      <c r="N81" t="n">
        <v>0</v>
      </c>
      <c r="O81" t="n">
        <v>3</v>
      </c>
      <c r="P81" t="n">
        <v>0</v>
      </c>
      <c r="Q81" t="n">
        <v>3</v>
      </c>
      <c r="R81" s="2" t="inlineStr">
        <is>
          <t>Garnlav
Granticka
Tretåig hackspett</t>
        </is>
      </c>
      <c r="S81">
        <f>HYPERLINK("https://klasma.github.io/Logging_ARE/artfynd/A 23638-2023.xlsx", "A 23638-2023")</f>
        <v/>
      </c>
      <c r="T81">
        <f>HYPERLINK("https://klasma.github.io/Logging_ARE/kartor/A 23638-2023.png", "A 23638-2023")</f>
        <v/>
      </c>
      <c r="V81">
        <f>HYPERLINK("https://klasma.github.io/Logging_ARE/klagomål/A 23638-2023.docx", "A 23638-2023")</f>
        <v/>
      </c>
      <c r="W81">
        <f>HYPERLINK("https://klasma.github.io/Logging_ARE/klagomålsmail/A 23638-2023.docx", "A 23638-2023")</f>
        <v/>
      </c>
      <c r="X81">
        <f>HYPERLINK("https://klasma.github.io/Logging_ARE/tillsyn/A 23638-2023.docx", "A 23638-2023")</f>
        <v/>
      </c>
      <c r="Y81">
        <f>HYPERLINK("https://klasma.github.io/Logging_ARE/tillsynsmail/A 23638-2023.docx", "A 23638-2023")</f>
        <v/>
      </c>
    </row>
    <row r="82" ht="15" customHeight="1">
      <c r="A82" t="inlineStr">
        <is>
          <t>A 23729-2023</t>
        </is>
      </c>
      <c r="B82" s="1" t="n">
        <v>45072</v>
      </c>
      <c r="C82" s="1" t="n">
        <v>45202</v>
      </c>
      <c r="D82" t="inlineStr">
        <is>
          <t>JÄMTLANDS LÄN</t>
        </is>
      </c>
      <c r="E82" t="inlineStr">
        <is>
          <t>ÅRE</t>
        </is>
      </c>
      <c r="G82" t="n">
        <v>4.3</v>
      </c>
      <c r="H82" t="n">
        <v>1</v>
      </c>
      <c r="I82" t="n">
        <v>0</v>
      </c>
      <c r="J82" t="n">
        <v>3</v>
      </c>
      <c r="K82" t="n">
        <v>0</v>
      </c>
      <c r="L82" t="n">
        <v>0</v>
      </c>
      <c r="M82" t="n">
        <v>0</v>
      </c>
      <c r="N82" t="n">
        <v>0</v>
      </c>
      <c r="O82" t="n">
        <v>3</v>
      </c>
      <c r="P82" t="n">
        <v>0</v>
      </c>
      <c r="Q82" t="n">
        <v>3</v>
      </c>
      <c r="R82" s="2" t="inlineStr">
        <is>
          <t>Granticka
Lunglav
Tretåig hackspett</t>
        </is>
      </c>
      <c r="S82">
        <f>HYPERLINK("https://klasma.github.io/Logging_ARE/artfynd/A 23729-2023.xlsx", "A 23729-2023")</f>
        <v/>
      </c>
      <c r="T82">
        <f>HYPERLINK("https://klasma.github.io/Logging_ARE/kartor/A 23729-2023.png", "A 23729-2023")</f>
        <v/>
      </c>
      <c r="V82">
        <f>HYPERLINK("https://klasma.github.io/Logging_ARE/klagomål/A 23729-2023.docx", "A 23729-2023")</f>
        <v/>
      </c>
      <c r="W82">
        <f>HYPERLINK("https://klasma.github.io/Logging_ARE/klagomålsmail/A 23729-2023.docx", "A 23729-2023")</f>
        <v/>
      </c>
      <c r="X82">
        <f>HYPERLINK("https://klasma.github.io/Logging_ARE/tillsyn/A 23729-2023.docx", "A 23729-2023")</f>
        <v/>
      </c>
      <c r="Y82">
        <f>HYPERLINK("https://klasma.github.io/Logging_ARE/tillsynsmail/A 23729-2023.docx", "A 23729-2023")</f>
        <v/>
      </c>
    </row>
    <row r="83" ht="15" customHeight="1">
      <c r="A83" t="inlineStr">
        <is>
          <t>A 24549-2023</t>
        </is>
      </c>
      <c r="B83" s="1" t="n">
        <v>45082</v>
      </c>
      <c r="C83" s="1" t="n">
        <v>45202</v>
      </c>
      <c r="D83" t="inlineStr">
        <is>
          <t>JÄMTLANDS LÄN</t>
        </is>
      </c>
      <c r="E83" t="inlineStr">
        <is>
          <t>ÅRE</t>
        </is>
      </c>
      <c r="G83" t="n">
        <v>6.4</v>
      </c>
      <c r="H83" t="n">
        <v>2</v>
      </c>
      <c r="I83" t="n">
        <v>2</v>
      </c>
      <c r="J83" t="n">
        <v>0</v>
      </c>
      <c r="K83" t="n">
        <v>0</v>
      </c>
      <c r="L83" t="n">
        <v>0</v>
      </c>
      <c r="M83" t="n">
        <v>0</v>
      </c>
      <c r="N83" t="n">
        <v>0</v>
      </c>
      <c r="O83" t="n">
        <v>0</v>
      </c>
      <c r="P83" t="n">
        <v>0</v>
      </c>
      <c r="Q83" t="n">
        <v>3</v>
      </c>
      <c r="R83" s="2" t="inlineStr">
        <is>
          <t>Spindelblomster
Ögonpyrola
Revlummer</t>
        </is>
      </c>
      <c r="S83">
        <f>HYPERLINK("https://klasma.github.io/Logging_ARE/artfynd/A 24549-2023.xlsx", "A 24549-2023")</f>
        <v/>
      </c>
      <c r="T83">
        <f>HYPERLINK("https://klasma.github.io/Logging_ARE/kartor/A 24549-2023.png", "A 24549-2023")</f>
        <v/>
      </c>
      <c r="V83">
        <f>HYPERLINK("https://klasma.github.io/Logging_ARE/klagomål/A 24549-2023.docx", "A 24549-2023")</f>
        <v/>
      </c>
      <c r="W83">
        <f>HYPERLINK("https://klasma.github.io/Logging_ARE/klagomålsmail/A 24549-2023.docx", "A 24549-2023")</f>
        <v/>
      </c>
      <c r="X83">
        <f>HYPERLINK("https://klasma.github.io/Logging_ARE/tillsyn/A 24549-2023.docx", "A 24549-2023")</f>
        <v/>
      </c>
      <c r="Y83">
        <f>HYPERLINK("https://klasma.github.io/Logging_ARE/tillsynsmail/A 24549-2023.docx", "A 24549-2023")</f>
        <v/>
      </c>
    </row>
    <row r="84" ht="15" customHeight="1">
      <c r="A84" t="inlineStr">
        <is>
          <t>A 12120-2019</t>
        </is>
      </c>
      <c r="B84" s="1" t="n">
        <v>43522</v>
      </c>
      <c r="C84" s="1" t="n">
        <v>45202</v>
      </c>
      <c r="D84" t="inlineStr">
        <is>
          <t>JÄMTLANDS LÄN</t>
        </is>
      </c>
      <c r="E84" t="inlineStr">
        <is>
          <t>ÅRE</t>
        </is>
      </c>
      <c r="G84" t="n">
        <v>2.5</v>
      </c>
      <c r="H84" t="n">
        <v>1</v>
      </c>
      <c r="I84" t="n">
        <v>1</v>
      </c>
      <c r="J84" t="n">
        <v>1</v>
      </c>
      <c r="K84" t="n">
        <v>0</v>
      </c>
      <c r="L84" t="n">
        <v>0</v>
      </c>
      <c r="M84" t="n">
        <v>0</v>
      </c>
      <c r="N84" t="n">
        <v>0</v>
      </c>
      <c r="O84" t="n">
        <v>1</v>
      </c>
      <c r="P84" t="n">
        <v>0</v>
      </c>
      <c r="Q84" t="n">
        <v>2</v>
      </c>
      <c r="R84" s="2" t="inlineStr">
        <is>
          <t>Gränsticka
Spindelblomster</t>
        </is>
      </c>
      <c r="S84">
        <f>HYPERLINK("https://klasma.github.io/Logging_ARE/artfynd/A 12120-2019.xlsx", "A 12120-2019")</f>
        <v/>
      </c>
      <c r="T84">
        <f>HYPERLINK("https://klasma.github.io/Logging_ARE/kartor/A 12120-2019.png", "A 12120-2019")</f>
        <v/>
      </c>
      <c r="V84">
        <f>HYPERLINK("https://klasma.github.io/Logging_ARE/klagomål/A 12120-2019.docx", "A 12120-2019")</f>
        <v/>
      </c>
      <c r="W84">
        <f>HYPERLINK("https://klasma.github.io/Logging_ARE/klagomålsmail/A 12120-2019.docx", "A 12120-2019")</f>
        <v/>
      </c>
      <c r="X84">
        <f>HYPERLINK("https://klasma.github.io/Logging_ARE/tillsyn/A 12120-2019.docx", "A 12120-2019")</f>
        <v/>
      </c>
      <c r="Y84">
        <f>HYPERLINK("https://klasma.github.io/Logging_ARE/tillsynsmail/A 12120-2019.docx", "A 12120-2019")</f>
        <v/>
      </c>
    </row>
    <row r="85" ht="15" customHeight="1">
      <c r="A85" t="inlineStr">
        <is>
          <t>A 35409-2019</t>
        </is>
      </c>
      <c r="B85" s="1" t="n">
        <v>43661</v>
      </c>
      <c r="C85" s="1" t="n">
        <v>45202</v>
      </c>
      <c r="D85" t="inlineStr">
        <is>
          <t>JÄMTLANDS LÄN</t>
        </is>
      </c>
      <c r="E85" t="inlineStr">
        <is>
          <t>ÅRE</t>
        </is>
      </c>
      <c r="G85" t="n">
        <v>2.5</v>
      </c>
      <c r="H85" t="n">
        <v>0</v>
      </c>
      <c r="I85" t="n">
        <v>1</v>
      </c>
      <c r="J85" t="n">
        <v>1</v>
      </c>
      <c r="K85" t="n">
        <v>0</v>
      </c>
      <c r="L85" t="n">
        <v>0</v>
      </c>
      <c r="M85" t="n">
        <v>0</v>
      </c>
      <c r="N85" t="n">
        <v>0</v>
      </c>
      <c r="O85" t="n">
        <v>1</v>
      </c>
      <c r="P85" t="n">
        <v>0</v>
      </c>
      <c r="Q85" t="n">
        <v>2</v>
      </c>
      <c r="R85" s="2" t="inlineStr">
        <is>
          <t>Garnlav
Trådticka</t>
        </is>
      </c>
      <c r="S85">
        <f>HYPERLINK("https://klasma.github.io/Logging_ARE/artfynd/A 35409-2019.xlsx", "A 35409-2019")</f>
        <v/>
      </c>
      <c r="T85">
        <f>HYPERLINK("https://klasma.github.io/Logging_ARE/kartor/A 35409-2019.png", "A 35409-2019")</f>
        <v/>
      </c>
      <c r="V85">
        <f>HYPERLINK("https://klasma.github.io/Logging_ARE/klagomål/A 35409-2019.docx", "A 35409-2019")</f>
        <v/>
      </c>
      <c r="W85">
        <f>HYPERLINK("https://klasma.github.io/Logging_ARE/klagomålsmail/A 35409-2019.docx", "A 35409-2019")</f>
        <v/>
      </c>
      <c r="X85">
        <f>HYPERLINK("https://klasma.github.io/Logging_ARE/tillsyn/A 35409-2019.docx", "A 35409-2019")</f>
        <v/>
      </c>
      <c r="Y85">
        <f>HYPERLINK("https://klasma.github.io/Logging_ARE/tillsynsmail/A 35409-2019.docx", "A 35409-2019")</f>
        <v/>
      </c>
    </row>
    <row r="86" ht="15" customHeight="1">
      <c r="A86" t="inlineStr">
        <is>
          <t>A 46012-2019</t>
        </is>
      </c>
      <c r="B86" s="1" t="n">
        <v>43718</v>
      </c>
      <c r="C86" s="1" t="n">
        <v>45202</v>
      </c>
      <c r="D86" t="inlineStr">
        <is>
          <t>JÄMTLANDS LÄN</t>
        </is>
      </c>
      <c r="E86" t="inlineStr">
        <is>
          <t>ÅRE</t>
        </is>
      </c>
      <c r="F86" t="inlineStr">
        <is>
          <t>Kommuner</t>
        </is>
      </c>
      <c r="G86" t="n">
        <v>13.4</v>
      </c>
      <c r="H86" t="n">
        <v>1</v>
      </c>
      <c r="I86" t="n">
        <v>0</v>
      </c>
      <c r="J86" t="n">
        <v>1</v>
      </c>
      <c r="K86" t="n">
        <v>1</v>
      </c>
      <c r="L86" t="n">
        <v>0</v>
      </c>
      <c r="M86" t="n">
        <v>0</v>
      </c>
      <c r="N86" t="n">
        <v>0</v>
      </c>
      <c r="O86" t="n">
        <v>2</v>
      </c>
      <c r="P86" t="n">
        <v>1</v>
      </c>
      <c r="Q86" t="n">
        <v>2</v>
      </c>
      <c r="R86" s="2" t="inlineStr">
        <is>
          <t>Knärot
Ullticka</t>
        </is>
      </c>
      <c r="S86">
        <f>HYPERLINK("https://klasma.github.io/Logging_ARE/artfynd/A 46012-2019.xlsx", "A 46012-2019")</f>
        <v/>
      </c>
      <c r="T86">
        <f>HYPERLINK("https://klasma.github.io/Logging_ARE/kartor/A 46012-2019.png", "A 46012-2019")</f>
        <v/>
      </c>
      <c r="U86">
        <f>HYPERLINK("https://klasma.github.io/Logging_ARE/knärot/A 46012-2019.png", "A 46012-2019")</f>
        <v/>
      </c>
      <c r="V86">
        <f>HYPERLINK("https://klasma.github.io/Logging_ARE/klagomål/A 46012-2019.docx", "A 46012-2019")</f>
        <v/>
      </c>
      <c r="W86">
        <f>HYPERLINK("https://klasma.github.io/Logging_ARE/klagomålsmail/A 46012-2019.docx", "A 46012-2019")</f>
        <v/>
      </c>
      <c r="X86">
        <f>HYPERLINK("https://klasma.github.io/Logging_ARE/tillsyn/A 46012-2019.docx", "A 46012-2019")</f>
        <v/>
      </c>
      <c r="Y86">
        <f>HYPERLINK("https://klasma.github.io/Logging_ARE/tillsynsmail/A 46012-2019.docx", "A 46012-2019")</f>
        <v/>
      </c>
    </row>
    <row r="87" ht="15" customHeight="1">
      <c r="A87" t="inlineStr">
        <is>
          <t>A 32661-2020</t>
        </is>
      </c>
      <c r="B87" s="1" t="n">
        <v>44018</v>
      </c>
      <c r="C87" s="1" t="n">
        <v>45202</v>
      </c>
      <c r="D87" t="inlineStr">
        <is>
          <t>JÄMTLANDS LÄN</t>
        </is>
      </c>
      <c r="E87" t="inlineStr">
        <is>
          <t>ÅRE</t>
        </is>
      </c>
      <c r="G87" t="n">
        <v>1.8</v>
      </c>
      <c r="H87" t="n">
        <v>0</v>
      </c>
      <c r="I87" t="n">
        <v>1</v>
      </c>
      <c r="J87" t="n">
        <v>1</v>
      </c>
      <c r="K87" t="n">
        <v>0</v>
      </c>
      <c r="L87" t="n">
        <v>0</v>
      </c>
      <c r="M87" t="n">
        <v>0</v>
      </c>
      <c r="N87" t="n">
        <v>0</v>
      </c>
      <c r="O87" t="n">
        <v>1</v>
      </c>
      <c r="P87" t="n">
        <v>0</v>
      </c>
      <c r="Q87" t="n">
        <v>2</v>
      </c>
      <c r="R87" s="2" t="inlineStr">
        <is>
          <t>Garnlav
Luddlav</t>
        </is>
      </c>
      <c r="S87">
        <f>HYPERLINK("https://klasma.github.io/Logging_ARE/artfynd/A 32661-2020.xlsx", "A 32661-2020")</f>
        <v/>
      </c>
      <c r="T87">
        <f>HYPERLINK("https://klasma.github.io/Logging_ARE/kartor/A 32661-2020.png", "A 32661-2020")</f>
        <v/>
      </c>
      <c r="V87">
        <f>HYPERLINK("https://klasma.github.io/Logging_ARE/klagomål/A 32661-2020.docx", "A 32661-2020")</f>
        <v/>
      </c>
      <c r="W87">
        <f>HYPERLINK("https://klasma.github.io/Logging_ARE/klagomålsmail/A 32661-2020.docx", "A 32661-2020")</f>
        <v/>
      </c>
      <c r="X87">
        <f>HYPERLINK("https://klasma.github.io/Logging_ARE/tillsyn/A 32661-2020.docx", "A 32661-2020")</f>
        <v/>
      </c>
      <c r="Y87">
        <f>HYPERLINK("https://klasma.github.io/Logging_ARE/tillsynsmail/A 32661-2020.docx", "A 32661-2020")</f>
        <v/>
      </c>
    </row>
    <row r="88" ht="15" customHeight="1">
      <c r="A88" t="inlineStr">
        <is>
          <t>A 35623-2020</t>
        </is>
      </c>
      <c r="B88" s="1" t="n">
        <v>44046</v>
      </c>
      <c r="C88" s="1" t="n">
        <v>45202</v>
      </c>
      <c r="D88" t="inlineStr">
        <is>
          <t>JÄMTLANDS LÄN</t>
        </is>
      </c>
      <c r="E88" t="inlineStr">
        <is>
          <t>ÅRE</t>
        </is>
      </c>
      <c r="G88" t="n">
        <v>15.8</v>
      </c>
      <c r="H88" t="n">
        <v>0</v>
      </c>
      <c r="I88" t="n">
        <v>0</v>
      </c>
      <c r="J88" t="n">
        <v>1</v>
      </c>
      <c r="K88" t="n">
        <v>1</v>
      </c>
      <c r="L88" t="n">
        <v>0</v>
      </c>
      <c r="M88" t="n">
        <v>0</v>
      </c>
      <c r="N88" t="n">
        <v>0</v>
      </c>
      <c r="O88" t="n">
        <v>2</v>
      </c>
      <c r="P88" t="n">
        <v>1</v>
      </c>
      <c r="Q88" t="n">
        <v>2</v>
      </c>
      <c r="R88" s="2" t="inlineStr">
        <is>
          <t>Norsk näverlav
Gammelgransskål</t>
        </is>
      </c>
      <c r="S88">
        <f>HYPERLINK("https://klasma.github.io/Logging_ARE/artfynd/A 35623-2020.xlsx", "A 35623-2020")</f>
        <v/>
      </c>
      <c r="T88">
        <f>HYPERLINK("https://klasma.github.io/Logging_ARE/kartor/A 35623-2020.png", "A 35623-2020")</f>
        <v/>
      </c>
      <c r="V88">
        <f>HYPERLINK("https://klasma.github.io/Logging_ARE/klagomål/A 35623-2020.docx", "A 35623-2020")</f>
        <v/>
      </c>
      <c r="W88">
        <f>HYPERLINK("https://klasma.github.io/Logging_ARE/klagomålsmail/A 35623-2020.docx", "A 35623-2020")</f>
        <v/>
      </c>
      <c r="X88">
        <f>HYPERLINK("https://klasma.github.io/Logging_ARE/tillsyn/A 35623-2020.docx", "A 35623-2020")</f>
        <v/>
      </c>
      <c r="Y88">
        <f>HYPERLINK("https://klasma.github.io/Logging_ARE/tillsynsmail/A 35623-2020.docx", "A 35623-2020")</f>
        <v/>
      </c>
    </row>
    <row r="89" ht="15" customHeight="1">
      <c r="A89" t="inlineStr">
        <is>
          <t>A 52778-2020</t>
        </is>
      </c>
      <c r="B89" s="1" t="n">
        <v>44119</v>
      </c>
      <c r="C89" s="1" t="n">
        <v>45202</v>
      </c>
      <c r="D89" t="inlineStr">
        <is>
          <t>JÄMTLANDS LÄN</t>
        </is>
      </c>
      <c r="E89" t="inlineStr">
        <is>
          <t>ÅRE</t>
        </is>
      </c>
      <c r="G89" t="n">
        <v>16.5</v>
      </c>
      <c r="H89" t="n">
        <v>0</v>
      </c>
      <c r="I89" t="n">
        <v>0</v>
      </c>
      <c r="J89" t="n">
        <v>2</v>
      </c>
      <c r="K89" t="n">
        <v>0</v>
      </c>
      <c r="L89" t="n">
        <v>0</v>
      </c>
      <c r="M89" t="n">
        <v>0</v>
      </c>
      <c r="N89" t="n">
        <v>0</v>
      </c>
      <c r="O89" t="n">
        <v>2</v>
      </c>
      <c r="P89" t="n">
        <v>0</v>
      </c>
      <c r="Q89" t="n">
        <v>2</v>
      </c>
      <c r="R89" s="2" t="inlineStr">
        <is>
          <t>Garnlav
Granticka</t>
        </is>
      </c>
      <c r="S89">
        <f>HYPERLINK("https://klasma.github.io/Logging_ARE/artfynd/A 52778-2020.xlsx", "A 52778-2020")</f>
        <v/>
      </c>
      <c r="T89">
        <f>HYPERLINK("https://klasma.github.io/Logging_ARE/kartor/A 52778-2020.png", "A 52778-2020")</f>
        <v/>
      </c>
      <c r="V89">
        <f>HYPERLINK("https://klasma.github.io/Logging_ARE/klagomål/A 52778-2020.docx", "A 52778-2020")</f>
        <v/>
      </c>
      <c r="W89">
        <f>HYPERLINK("https://klasma.github.io/Logging_ARE/klagomålsmail/A 52778-2020.docx", "A 52778-2020")</f>
        <v/>
      </c>
      <c r="X89">
        <f>HYPERLINK("https://klasma.github.io/Logging_ARE/tillsyn/A 52778-2020.docx", "A 52778-2020")</f>
        <v/>
      </c>
      <c r="Y89">
        <f>HYPERLINK("https://klasma.github.io/Logging_ARE/tillsynsmail/A 52778-2020.docx", "A 52778-2020")</f>
        <v/>
      </c>
    </row>
    <row r="90" ht="15" customHeight="1">
      <c r="A90" t="inlineStr">
        <is>
          <t>A 5388-2021</t>
        </is>
      </c>
      <c r="B90" s="1" t="n">
        <v>44229</v>
      </c>
      <c r="C90" s="1" t="n">
        <v>45202</v>
      </c>
      <c r="D90" t="inlineStr">
        <is>
          <t>JÄMTLANDS LÄN</t>
        </is>
      </c>
      <c r="E90" t="inlineStr">
        <is>
          <t>ÅRE</t>
        </is>
      </c>
      <c r="G90" t="n">
        <v>6.9</v>
      </c>
      <c r="H90" t="n">
        <v>1</v>
      </c>
      <c r="I90" t="n">
        <v>0</v>
      </c>
      <c r="J90" t="n">
        <v>2</v>
      </c>
      <c r="K90" t="n">
        <v>0</v>
      </c>
      <c r="L90" t="n">
        <v>0</v>
      </c>
      <c r="M90" t="n">
        <v>0</v>
      </c>
      <c r="N90" t="n">
        <v>0</v>
      </c>
      <c r="O90" t="n">
        <v>2</v>
      </c>
      <c r="P90" t="n">
        <v>0</v>
      </c>
      <c r="Q90" t="n">
        <v>2</v>
      </c>
      <c r="R90" s="2" t="inlineStr">
        <is>
          <t>Tretåig hackspett
Ullticka</t>
        </is>
      </c>
      <c r="S90">
        <f>HYPERLINK("https://klasma.github.io/Logging_ARE/artfynd/A 5388-2021.xlsx", "A 5388-2021")</f>
        <v/>
      </c>
      <c r="T90">
        <f>HYPERLINK("https://klasma.github.io/Logging_ARE/kartor/A 5388-2021.png", "A 5388-2021")</f>
        <v/>
      </c>
      <c r="V90">
        <f>HYPERLINK("https://klasma.github.io/Logging_ARE/klagomål/A 5388-2021.docx", "A 5388-2021")</f>
        <v/>
      </c>
      <c r="W90">
        <f>HYPERLINK("https://klasma.github.io/Logging_ARE/klagomålsmail/A 5388-2021.docx", "A 5388-2021")</f>
        <v/>
      </c>
      <c r="X90">
        <f>HYPERLINK("https://klasma.github.io/Logging_ARE/tillsyn/A 5388-2021.docx", "A 5388-2021")</f>
        <v/>
      </c>
      <c r="Y90">
        <f>HYPERLINK("https://klasma.github.io/Logging_ARE/tillsynsmail/A 5388-2021.docx", "A 5388-2021")</f>
        <v/>
      </c>
    </row>
    <row r="91" ht="15" customHeight="1">
      <c r="A91" t="inlineStr">
        <is>
          <t>A 23566-2021</t>
        </is>
      </c>
      <c r="B91" s="1" t="n">
        <v>44334</v>
      </c>
      <c r="C91" s="1" t="n">
        <v>45202</v>
      </c>
      <c r="D91" t="inlineStr">
        <is>
          <t>JÄMTLANDS LÄN</t>
        </is>
      </c>
      <c r="E91" t="inlineStr">
        <is>
          <t>ÅRE</t>
        </is>
      </c>
      <c r="G91" t="n">
        <v>20</v>
      </c>
      <c r="H91" t="n">
        <v>1</v>
      </c>
      <c r="I91" t="n">
        <v>1</v>
      </c>
      <c r="J91" t="n">
        <v>1</v>
      </c>
      <c r="K91" t="n">
        <v>0</v>
      </c>
      <c r="L91" t="n">
        <v>0</v>
      </c>
      <c r="M91" t="n">
        <v>0</v>
      </c>
      <c r="N91" t="n">
        <v>0</v>
      </c>
      <c r="O91" t="n">
        <v>1</v>
      </c>
      <c r="P91" t="n">
        <v>0</v>
      </c>
      <c r="Q91" t="n">
        <v>2</v>
      </c>
      <c r="R91" s="2" t="inlineStr">
        <is>
          <t>Skrovellav
Spindelblomster</t>
        </is>
      </c>
      <c r="S91">
        <f>HYPERLINK("https://klasma.github.io/Logging_ARE/artfynd/A 23566-2021.xlsx", "A 23566-2021")</f>
        <v/>
      </c>
      <c r="T91">
        <f>HYPERLINK("https://klasma.github.io/Logging_ARE/kartor/A 23566-2021.png", "A 23566-2021")</f>
        <v/>
      </c>
      <c r="V91">
        <f>HYPERLINK("https://klasma.github.io/Logging_ARE/klagomål/A 23566-2021.docx", "A 23566-2021")</f>
        <v/>
      </c>
      <c r="W91">
        <f>HYPERLINK("https://klasma.github.io/Logging_ARE/klagomålsmail/A 23566-2021.docx", "A 23566-2021")</f>
        <v/>
      </c>
      <c r="X91">
        <f>HYPERLINK("https://klasma.github.io/Logging_ARE/tillsyn/A 23566-2021.docx", "A 23566-2021")</f>
        <v/>
      </c>
      <c r="Y91">
        <f>HYPERLINK("https://klasma.github.io/Logging_ARE/tillsynsmail/A 23566-2021.docx", "A 23566-2021")</f>
        <v/>
      </c>
    </row>
    <row r="92" ht="15" customHeight="1">
      <c r="A92" t="inlineStr">
        <is>
          <t>A 46984-2021</t>
        </is>
      </c>
      <c r="B92" s="1" t="n">
        <v>44446</v>
      </c>
      <c r="C92" s="1" t="n">
        <v>45202</v>
      </c>
      <c r="D92" t="inlineStr">
        <is>
          <t>JÄMTLANDS LÄN</t>
        </is>
      </c>
      <c r="E92" t="inlineStr">
        <is>
          <t>ÅRE</t>
        </is>
      </c>
      <c r="G92" t="n">
        <v>0.2</v>
      </c>
      <c r="H92" t="n">
        <v>1</v>
      </c>
      <c r="I92" t="n">
        <v>0</v>
      </c>
      <c r="J92" t="n">
        <v>2</v>
      </c>
      <c r="K92" t="n">
        <v>0</v>
      </c>
      <c r="L92" t="n">
        <v>0</v>
      </c>
      <c r="M92" t="n">
        <v>0</v>
      </c>
      <c r="N92" t="n">
        <v>0</v>
      </c>
      <c r="O92" t="n">
        <v>2</v>
      </c>
      <c r="P92" t="n">
        <v>0</v>
      </c>
      <c r="Q92" t="n">
        <v>2</v>
      </c>
      <c r="R92" s="2" t="inlineStr">
        <is>
          <t>Garnlav
Tretåig hackspett</t>
        </is>
      </c>
      <c r="S92">
        <f>HYPERLINK("https://klasma.github.io/Logging_ARE/artfynd/A 46984-2021.xlsx", "A 46984-2021")</f>
        <v/>
      </c>
      <c r="T92">
        <f>HYPERLINK("https://klasma.github.io/Logging_ARE/kartor/A 46984-2021.png", "A 46984-2021")</f>
        <v/>
      </c>
      <c r="V92">
        <f>HYPERLINK("https://klasma.github.io/Logging_ARE/klagomål/A 46984-2021.docx", "A 46984-2021")</f>
        <v/>
      </c>
      <c r="W92">
        <f>HYPERLINK("https://klasma.github.io/Logging_ARE/klagomålsmail/A 46984-2021.docx", "A 46984-2021")</f>
        <v/>
      </c>
      <c r="X92">
        <f>HYPERLINK("https://klasma.github.io/Logging_ARE/tillsyn/A 46984-2021.docx", "A 46984-2021")</f>
        <v/>
      </c>
      <c r="Y92">
        <f>HYPERLINK("https://klasma.github.io/Logging_ARE/tillsynsmail/A 46984-2021.docx", "A 46984-2021")</f>
        <v/>
      </c>
    </row>
    <row r="93" ht="15" customHeight="1">
      <c r="A93" t="inlineStr">
        <is>
          <t>A 64663-2021</t>
        </is>
      </c>
      <c r="B93" s="1" t="n">
        <v>44512</v>
      </c>
      <c r="C93" s="1" t="n">
        <v>45202</v>
      </c>
      <c r="D93" t="inlineStr">
        <is>
          <t>JÄMTLANDS LÄN</t>
        </is>
      </c>
      <c r="E93" t="inlineStr">
        <is>
          <t>ÅRE</t>
        </is>
      </c>
      <c r="G93" t="n">
        <v>14.5</v>
      </c>
      <c r="H93" t="n">
        <v>0</v>
      </c>
      <c r="I93" t="n">
        <v>0</v>
      </c>
      <c r="J93" t="n">
        <v>1</v>
      </c>
      <c r="K93" t="n">
        <v>1</v>
      </c>
      <c r="L93" t="n">
        <v>0</v>
      </c>
      <c r="M93" t="n">
        <v>0</v>
      </c>
      <c r="N93" t="n">
        <v>0</v>
      </c>
      <c r="O93" t="n">
        <v>2</v>
      </c>
      <c r="P93" t="n">
        <v>1</v>
      </c>
      <c r="Q93" t="n">
        <v>2</v>
      </c>
      <c r="R93" s="2" t="inlineStr">
        <is>
          <t>Sotbandad spindling
Vitterspindling</t>
        </is>
      </c>
      <c r="S93">
        <f>HYPERLINK("https://klasma.github.io/Logging_ARE/artfynd/A 64663-2021.xlsx", "A 64663-2021")</f>
        <v/>
      </c>
      <c r="T93">
        <f>HYPERLINK("https://klasma.github.io/Logging_ARE/kartor/A 64663-2021.png", "A 64663-2021")</f>
        <v/>
      </c>
      <c r="V93">
        <f>HYPERLINK("https://klasma.github.io/Logging_ARE/klagomål/A 64663-2021.docx", "A 64663-2021")</f>
        <v/>
      </c>
      <c r="W93">
        <f>HYPERLINK("https://klasma.github.io/Logging_ARE/klagomålsmail/A 64663-2021.docx", "A 64663-2021")</f>
        <v/>
      </c>
      <c r="X93">
        <f>HYPERLINK("https://klasma.github.io/Logging_ARE/tillsyn/A 64663-2021.docx", "A 64663-2021")</f>
        <v/>
      </c>
      <c r="Y93">
        <f>HYPERLINK("https://klasma.github.io/Logging_ARE/tillsynsmail/A 64663-2021.docx", "A 64663-2021")</f>
        <v/>
      </c>
    </row>
    <row r="94" ht="15" customHeight="1">
      <c r="A94" t="inlineStr">
        <is>
          <t>A 64668-2021</t>
        </is>
      </c>
      <c r="B94" s="1" t="n">
        <v>44512</v>
      </c>
      <c r="C94" s="1" t="n">
        <v>45202</v>
      </c>
      <c r="D94" t="inlineStr">
        <is>
          <t>JÄMTLANDS LÄN</t>
        </is>
      </c>
      <c r="E94" t="inlineStr">
        <is>
          <t>ÅRE</t>
        </is>
      </c>
      <c r="G94" t="n">
        <v>1.9</v>
      </c>
      <c r="H94" t="n">
        <v>1</v>
      </c>
      <c r="I94" t="n">
        <v>0</v>
      </c>
      <c r="J94" t="n">
        <v>2</v>
      </c>
      <c r="K94" t="n">
        <v>0</v>
      </c>
      <c r="L94" t="n">
        <v>0</v>
      </c>
      <c r="M94" t="n">
        <v>0</v>
      </c>
      <c r="N94" t="n">
        <v>0</v>
      </c>
      <c r="O94" t="n">
        <v>2</v>
      </c>
      <c r="P94" t="n">
        <v>0</v>
      </c>
      <c r="Q94" t="n">
        <v>2</v>
      </c>
      <c r="R94" s="2" t="inlineStr">
        <is>
          <t>Granticka
Tretåig hackspett</t>
        </is>
      </c>
      <c r="S94">
        <f>HYPERLINK("https://klasma.github.io/Logging_ARE/artfynd/A 64668-2021.xlsx", "A 64668-2021")</f>
        <v/>
      </c>
      <c r="T94">
        <f>HYPERLINK("https://klasma.github.io/Logging_ARE/kartor/A 64668-2021.png", "A 64668-2021")</f>
        <v/>
      </c>
      <c r="V94">
        <f>HYPERLINK("https://klasma.github.io/Logging_ARE/klagomål/A 64668-2021.docx", "A 64668-2021")</f>
        <v/>
      </c>
      <c r="W94">
        <f>HYPERLINK("https://klasma.github.io/Logging_ARE/klagomålsmail/A 64668-2021.docx", "A 64668-2021")</f>
        <v/>
      </c>
      <c r="X94">
        <f>HYPERLINK("https://klasma.github.io/Logging_ARE/tillsyn/A 64668-2021.docx", "A 64668-2021")</f>
        <v/>
      </c>
      <c r="Y94">
        <f>HYPERLINK("https://klasma.github.io/Logging_ARE/tillsynsmail/A 64668-2021.docx", "A 64668-2021")</f>
        <v/>
      </c>
    </row>
    <row r="95" ht="15" customHeight="1">
      <c r="A95" t="inlineStr">
        <is>
          <t>A 21006-2022</t>
        </is>
      </c>
      <c r="B95" s="1" t="n">
        <v>44701</v>
      </c>
      <c r="C95" s="1" t="n">
        <v>45202</v>
      </c>
      <c r="D95" t="inlineStr">
        <is>
          <t>JÄMTLANDS LÄN</t>
        </is>
      </c>
      <c r="E95" t="inlineStr">
        <is>
          <t>ÅRE</t>
        </is>
      </c>
      <c r="G95" t="n">
        <v>5.5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21006-2022.xlsx", "A 21006-2022")</f>
        <v/>
      </c>
      <c r="T95">
        <f>HYPERLINK("https://klasma.github.io/Logging_ARE/kartor/A 21006-2022.png", "A 21006-2022")</f>
        <v/>
      </c>
      <c r="V95">
        <f>HYPERLINK("https://klasma.github.io/Logging_ARE/klagomål/A 21006-2022.docx", "A 21006-2022")</f>
        <v/>
      </c>
      <c r="W95">
        <f>HYPERLINK("https://klasma.github.io/Logging_ARE/klagomålsmail/A 21006-2022.docx", "A 21006-2022")</f>
        <v/>
      </c>
      <c r="X95">
        <f>HYPERLINK("https://klasma.github.io/Logging_ARE/tillsyn/A 21006-2022.docx", "A 21006-2022")</f>
        <v/>
      </c>
      <c r="Y95">
        <f>HYPERLINK("https://klasma.github.io/Logging_ARE/tillsynsmail/A 21006-2022.docx", "A 21006-2022")</f>
        <v/>
      </c>
    </row>
    <row r="96" ht="15" customHeight="1">
      <c r="A96" t="inlineStr">
        <is>
          <t>A 22231-2022</t>
        </is>
      </c>
      <c r="B96" s="1" t="n">
        <v>44712</v>
      </c>
      <c r="C96" s="1" t="n">
        <v>45202</v>
      </c>
      <c r="D96" t="inlineStr">
        <is>
          <t>JÄMTLANDS LÄN</t>
        </is>
      </c>
      <c r="E96" t="inlineStr">
        <is>
          <t>ÅRE</t>
        </is>
      </c>
      <c r="G96" t="n">
        <v>15</v>
      </c>
      <c r="H96" t="n">
        <v>0</v>
      </c>
      <c r="I96" t="n">
        <v>0</v>
      </c>
      <c r="J96" t="n">
        <v>2</v>
      </c>
      <c r="K96" t="n">
        <v>0</v>
      </c>
      <c r="L96" t="n">
        <v>0</v>
      </c>
      <c r="M96" t="n">
        <v>0</v>
      </c>
      <c r="N96" t="n">
        <v>0</v>
      </c>
      <c r="O96" t="n">
        <v>2</v>
      </c>
      <c r="P96" t="n">
        <v>0</v>
      </c>
      <c r="Q96" t="n">
        <v>2</v>
      </c>
      <c r="R96" s="2" t="inlineStr">
        <is>
          <t>Gammelgransskål
Granticka</t>
        </is>
      </c>
      <c r="S96">
        <f>HYPERLINK("https://klasma.github.io/Logging_ARE/artfynd/A 22231-2022.xlsx", "A 22231-2022")</f>
        <v/>
      </c>
      <c r="T96">
        <f>HYPERLINK("https://klasma.github.io/Logging_ARE/kartor/A 22231-2022.png", "A 22231-2022")</f>
        <v/>
      </c>
      <c r="V96">
        <f>HYPERLINK("https://klasma.github.io/Logging_ARE/klagomål/A 22231-2022.docx", "A 22231-2022")</f>
        <v/>
      </c>
      <c r="W96">
        <f>HYPERLINK("https://klasma.github.io/Logging_ARE/klagomålsmail/A 22231-2022.docx", "A 22231-2022")</f>
        <v/>
      </c>
      <c r="X96">
        <f>HYPERLINK("https://klasma.github.io/Logging_ARE/tillsyn/A 22231-2022.docx", "A 22231-2022")</f>
        <v/>
      </c>
      <c r="Y96">
        <f>HYPERLINK("https://klasma.github.io/Logging_ARE/tillsynsmail/A 22231-2022.docx", "A 22231-2022")</f>
        <v/>
      </c>
    </row>
    <row r="97" ht="15" customHeight="1">
      <c r="A97" t="inlineStr">
        <is>
          <t>A 22974-2022</t>
        </is>
      </c>
      <c r="B97" s="1" t="n">
        <v>44716</v>
      </c>
      <c r="C97" s="1" t="n">
        <v>45202</v>
      </c>
      <c r="D97" t="inlineStr">
        <is>
          <t>JÄMTLANDS LÄN</t>
        </is>
      </c>
      <c r="E97" t="inlineStr">
        <is>
          <t>ÅRE</t>
        </is>
      </c>
      <c r="G97" t="n">
        <v>8.300000000000001</v>
      </c>
      <c r="H97" t="n">
        <v>1</v>
      </c>
      <c r="I97" t="n">
        <v>2</v>
      </c>
      <c r="J97" t="n">
        <v>0</v>
      </c>
      <c r="K97" t="n">
        <v>0</v>
      </c>
      <c r="L97" t="n">
        <v>0</v>
      </c>
      <c r="M97" t="n">
        <v>0</v>
      </c>
      <c r="N97" t="n">
        <v>0</v>
      </c>
      <c r="O97" t="n">
        <v>0</v>
      </c>
      <c r="P97" t="n">
        <v>0</v>
      </c>
      <c r="Q97" t="n">
        <v>2</v>
      </c>
      <c r="R97" s="2" t="inlineStr">
        <is>
          <t>Spindelblomster
Ögonpyrola</t>
        </is>
      </c>
      <c r="S97">
        <f>HYPERLINK("https://klasma.github.io/Logging_ARE/artfynd/A 22974-2022.xlsx", "A 22974-2022")</f>
        <v/>
      </c>
      <c r="T97">
        <f>HYPERLINK("https://klasma.github.io/Logging_ARE/kartor/A 22974-2022.png", "A 22974-2022")</f>
        <v/>
      </c>
      <c r="V97">
        <f>HYPERLINK("https://klasma.github.io/Logging_ARE/klagomål/A 22974-2022.docx", "A 22974-2022")</f>
        <v/>
      </c>
      <c r="W97">
        <f>HYPERLINK("https://klasma.github.io/Logging_ARE/klagomålsmail/A 22974-2022.docx", "A 22974-2022")</f>
        <v/>
      </c>
      <c r="X97">
        <f>HYPERLINK("https://klasma.github.io/Logging_ARE/tillsyn/A 22974-2022.docx", "A 22974-2022")</f>
        <v/>
      </c>
      <c r="Y97">
        <f>HYPERLINK("https://klasma.github.io/Logging_ARE/tillsynsmail/A 22974-2022.docx", "A 22974-2022")</f>
        <v/>
      </c>
    </row>
    <row r="98" ht="15" customHeight="1">
      <c r="A98" t="inlineStr">
        <is>
          <t>A 22973-2022</t>
        </is>
      </c>
      <c r="B98" s="1" t="n">
        <v>44716</v>
      </c>
      <c r="C98" s="1" t="n">
        <v>45202</v>
      </c>
      <c r="D98" t="inlineStr">
        <is>
          <t>JÄMTLANDS LÄN</t>
        </is>
      </c>
      <c r="E98" t="inlineStr">
        <is>
          <t>ÅRE</t>
        </is>
      </c>
      <c r="G98" t="n">
        <v>15.2</v>
      </c>
      <c r="H98" t="n">
        <v>0</v>
      </c>
      <c r="I98" t="n">
        <v>1</v>
      </c>
      <c r="J98" t="n">
        <v>1</v>
      </c>
      <c r="K98" t="n">
        <v>0</v>
      </c>
      <c r="L98" t="n">
        <v>0</v>
      </c>
      <c r="M98" t="n">
        <v>0</v>
      </c>
      <c r="N98" t="n">
        <v>0</v>
      </c>
      <c r="O98" t="n">
        <v>1</v>
      </c>
      <c r="P98" t="n">
        <v>0</v>
      </c>
      <c r="Q98" t="n">
        <v>2</v>
      </c>
      <c r="R98" s="2" t="inlineStr">
        <is>
          <t>Garnlav
Svavelriska</t>
        </is>
      </c>
      <c r="S98">
        <f>HYPERLINK("https://klasma.github.io/Logging_ARE/artfynd/A 22973-2022.xlsx", "A 22973-2022")</f>
        <v/>
      </c>
      <c r="T98">
        <f>HYPERLINK("https://klasma.github.io/Logging_ARE/kartor/A 22973-2022.png", "A 22973-2022")</f>
        <v/>
      </c>
      <c r="V98">
        <f>HYPERLINK("https://klasma.github.io/Logging_ARE/klagomål/A 22973-2022.docx", "A 22973-2022")</f>
        <v/>
      </c>
      <c r="W98">
        <f>HYPERLINK("https://klasma.github.io/Logging_ARE/klagomålsmail/A 22973-2022.docx", "A 22973-2022")</f>
        <v/>
      </c>
      <c r="X98">
        <f>HYPERLINK("https://klasma.github.io/Logging_ARE/tillsyn/A 22973-2022.docx", "A 22973-2022")</f>
        <v/>
      </c>
      <c r="Y98">
        <f>HYPERLINK("https://klasma.github.io/Logging_ARE/tillsynsmail/A 22973-2022.docx", "A 22973-2022")</f>
        <v/>
      </c>
    </row>
    <row r="99" ht="15" customHeight="1">
      <c r="A99" t="inlineStr">
        <is>
          <t>A 32207-2022</t>
        </is>
      </c>
      <c r="B99" s="1" t="n">
        <v>44781</v>
      </c>
      <c r="C99" s="1" t="n">
        <v>45202</v>
      </c>
      <c r="D99" t="inlineStr">
        <is>
          <t>JÄMTLANDS LÄN</t>
        </is>
      </c>
      <c r="E99" t="inlineStr">
        <is>
          <t>ÅRE</t>
        </is>
      </c>
      <c r="G99" t="n">
        <v>5.5</v>
      </c>
      <c r="H99" t="n">
        <v>1</v>
      </c>
      <c r="I99" t="n">
        <v>2</v>
      </c>
      <c r="J99" t="n">
        <v>0</v>
      </c>
      <c r="K99" t="n">
        <v>0</v>
      </c>
      <c r="L99" t="n">
        <v>0</v>
      </c>
      <c r="M99" t="n">
        <v>0</v>
      </c>
      <c r="N99" t="n">
        <v>0</v>
      </c>
      <c r="O99" t="n">
        <v>0</v>
      </c>
      <c r="P99" t="n">
        <v>0</v>
      </c>
      <c r="Q99" t="n">
        <v>2</v>
      </c>
      <c r="R99" s="2" t="inlineStr">
        <is>
          <t>Korallrot
Ögonpyrola</t>
        </is>
      </c>
      <c r="S99">
        <f>HYPERLINK("https://klasma.github.io/Logging_ARE/artfynd/A 32207-2022.xlsx", "A 32207-2022")</f>
        <v/>
      </c>
      <c r="T99">
        <f>HYPERLINK("https://klasma.github.io/Logging_ARE/kartor/A 32207-2022.png", "A 32207-2022")</f>
        <v/>
      </c>
      <c r="V99">
        <f>HYPERLINK("https://klasma.github.io/Logging_ARE/klagomål/A 32207-2022.docx", "A 32207-2022")</f>
        <v/>
      </c>
      <c r="W99">
        <f>HYPERLINK("https://klasma.github.io/Logging_ARE/klagomålsmail/A 32207-2022.docx", "A 32207-2022")</f>
        <v/>
      </c>
      <c r="X99">
        <f>HYPERLINK("https://klasma.github.io/Logging_ARE/tillsyn/A 32207-2022.docx", "A 32207-2022")</f>
        <v/>
      </c>
      <c r="Y99">
        <f>HYPERLINK("https://klasma.github.io/Logging_ARE/tillsynsmail/A 32207-2022.docx", "A 32207-2022")</f>
        <v/>
      </c>
    </row>
    <row r="100" ht="15" customHeight="1">
      <c r="A100" t="inlineStr">
        <is>
          <t>A 56472-2022</t>
        </is>
      </c>
      <c r="B100" s="1" t="n">
        <v>44893</v>
      </c>
      <c r="C100" s="1" t="n">
        <v>45202</v>
      </c>
      <c r="D100" t="inlineStr">
        <is>
          <t>JÄMTLANDS LÄN</t>
        </is>
      </c>
      <c r="E100" t="inlineStr">
        <is>
          <t>ÅRE</t>
        </is>
      </c>
      <c r="F100" t="inlineStr">
        <is>
          <t>Övriga Aktiebolag</t>
        </is>
      </c>
      <c r="G100" t="n">
        <v>22</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56472-2022.xlsx", "A 56472-2022")</f>
        <v/>
      </c>
      <c r="T100">
        <f>HYPERLINK("https://klasma.github.io/Logging_ARE/kartor/A 56472-2022.png", "A 56472-2022")</f>
        <v/>
      </c>
      <c r="V100">
        <f>HYPERLINK("https://klasma.github.io/Logging_ARE/klagomål/A 56472-2022.docx", "A 56472-2022")</f>
        <v/>
      </c>
      <c r="W100">
        <f>HYPERLINK("https://klasma.github.io/Logging_ARE/klagomålsmail/A 56472-2022.docx", "A 56472-2022")</f>
        <v/>
      </c>
      <c r="X100">
        <f>HYPERLINK("https://klasma.github.io/Logging_ARE/tillsyn/A 56472-2022.docx", "A 56472-2022")</f>
        <v/>
      </c>
      <c r="Y100">
        <f>HYPERLINK("https://klasma.github.io/Logging_ARE/tillsynsmail/A 56472-2022.docx", "A 56472-2022")</f>
        <v/>
      </c>
    </row>
    <row r="101" ht="15" customHeight="1">
      <c r="A101" t="inlineStr">
        <is>
          <t>A 60533-2022</t>
        </is>
      </c>
      <c r="B101" s="1" t="n">
        <v>44904</v>
      </c>
      <c r="C101" s="1" t="n">
        <v>45202</v>
      </c>
      <c r="D101" t="inlineStr">
        <is>
          <t>JÄMTLANDS LÄN</t>
        </is>
      </c>
      <c r="E101" t="inlineStr">
        <is>
          <t>ÅRE</t>
        </is>
      </c>
      <c r="G101" t="n">
        <v>3.6</v>
      </c>
      <c r="H101" t="n">
        <v>2</v>
      </c>
      <c r="I101" t="n">
        <v>0</v>
      </c>
      <c r="J101" t="n">
        <v>2</v>
      </c>
      <c r="K101" t="n">
        <v>0</v>
      </c>
      <c r="L101" t="n">
        <v>0</v>
      </c>
      <c r="M101" t="n">
        <v>0</v>
      </c>
      <c r="N101" t="n">
        <v>0</v>
      </c>
      <c r="O101" t="n">
        <v>2</v>
      </c>
      <c r="P101" t="n">
        <v>0</v>
      </c>
      <c r="Q101" t="n">
        <v>2</v>
      </c>
      <c r="R101" s="2" t="inlineStr">
        <is>
          <t>Talltita
Tretåig hackspett</t>
        </is>
      </c>
      <c r="S101">
        <f>HYPERLINK("https://klasma.github.io/Logging_ARE/artfynd/A 60533-2022.xlsx", "A 60533-2022")</f>
        <v/>
      </c>
      <c r="T101">
        <f>HYPERLINK("https://klasma.github.io/Logging_ARE/kartor/A 60533-2022.png", "A 60533-2022")</f>
        <v/>
      </c>
      <c r="V101">
        <f>HYPERLINK("https://klasma.github.io/Logging_ARE/klagomål/A 60533-2022.docx", "A 60533-2022")</f>
        <v/>
      </c>
      <c r="W101">
        <f>HYPERLINK("https://klasma.github.io/Logging_ARE/klagomålsmail/A 60533-2022.docx", "A 60533-2022")</f>
        <v/>
      </c>
      <c r="X101">
        <f>HYPERLINK("https://klasma.github.io/Logging_ARE/tillsyn/A 60533-2022.docx", "A 60533-2022")</f>
        <v/>
      </c>
      <c r="Y101">
        <f>HYPERLINK("https://klasma.github.io/Logging_ARE/tillsynsmail/A 60533-2022.docx", "A 60533-2022")</f>
        <v/>
      </c>
    </row>
    <row r="102" ht="15" customHeight="1">
      <c r="A102" t="inlineStr">
        <is>
          <t>A 3152-2023</t>
        </is>
      </c>
      <c r="B102" s="1" t="n">
        <v>44946</v>
      </c>
      <c r="C102" s="1" t="n">
        <v>45202</v>
      </c>
      <c r="D102" t="inlineStr">
        <is>
          <t>JÄMTLANDS LÄN</t>
        </is>
      </c>
      <c r="E102" t="inlineStr">
        <is>
          <t>ÅRE</t>
        </is>
      </c>
      <c r="G102" t="n">
        <v>1.9</v>
      </c>
      <c r="H102" t="n">
        <v>1</v>
      </c>
      <c r="I102" t="n">
        <v>0</v>
      </c>
      <c r="J102" t="n">
        <v>2</v>
      </c>
      <c r="K102" t="n">
        <v>0</v>
      </c>
      <c r="L102" t="n">
        <v>0</v>
      </c>
      <c r="M102" t="n">
        <v>0</v>
      </c>
      <c r="N102" t="n">
        <v>0</v>
      </c>
      <c r="O102" t="n">
        <v>2</v>
      </c>
      <c r="P102" t="n">
        <v>0</v>
      </c>
      <c r="Q102" t="n">
        <v>2</v>
      </c>
      <c r="R102" s="2" t="inlineStr">
        <is>
          <t>Lunglav
Tretåig hackspett</t>
        </is>
      </c>
      <c r="S102">
        <f>HYPERLINK("https://klasma.github.io/Logging_ARE/artfynd/A 3152-2023.xlsx", "A 3152-2023")</f>
        <v/>
      </c>
      <c r="T102">
        <f>HYPERLINK("https://klasma.github.io/Logging_ARE/kartor/A 3152-2023.png", "A 3152-2023")</f>
        <v/>
      </c>
      <c r="V102">
        <f>HYPERLINK("https://klasma.github.io/Logging_ARE/klagomål/A 3152-2023.docx", "A 3152-2023")</f>
        <v/>
      </c>
      <c r="W102">
        <f>HYPERLINK("https://klasma.github.io/Logging_ARE/klagomålsmail/A 3152-2023.docx", "A 3152-2023")</f>
        <v/>
      </c>
      <c r="X102">
        <f>HYPERLINK("https://klasma.github.io/Logging_ARE/tillsyn/A 3152-2023.docx", "A 3152-2023")</f>
        <v/>
      </c>
      <c r="Y102">
        <f>HYPERLINK("https://klasma.github.io/Logging_ARE/tillsynsmail/A 3152-2023.docx", "A 3152-2023")</f>
        <v/>
      </c>
    </row>
    <row r="103" ht="15" customHeight="1">
      <c r="A103" t="inlineStr">
        <is>
          <t>A 5418-2023</t>
        </is>
      </c>
      <c r="B103" s="1" t="n">
        <v>44957</v>
      </c>
      <c r="C103" s="1" t="n">
        <v>45202</v>
      </c>
      <c r="D103" t="inlineStr">
        <is>
          <t>JÄMTLANDS LÄN</t>
        </is>
      </c>
      <c r="E103" t="inlineStr">
        <is>
          <t>ÅRE</t>
        </is>
      </c>
      <c r="G103" t="n">
        <v>5</v>
      </c>
      <c r="H103" t="n">
        <v>1</v>
      </c>
      <c r="I103" t="n">
        <v>0</v>
      </c>
      <c r="J103" t="n">
        <v>2</v>
      </c>
      <c r="K103" t="n">
        <v>0</v>
      </c>
      <c r="L103" t="n">
        <v>0</v>
      </c>
      <c r="M103" t="n">
        <v>0</v>
      </c>
      <c r="N103" t="n">
        <v>0</v>
      </c>
      <c r="O103" t="n">
        <v>2</v>
      </c>
      <c r="P103" t="n">
        <v>0</v>
      </c>
      <c r="Q103" t="n">
        <v>2</v>
      </c>
      <c r="R103" s="2" t="inlineStr">
        <is>
          <t>Garnlav
Tretåig hackspett</t>
        </is>
      </c>
      <c r="S103">
        <f>HYPERLINK("https://klasma.github.io/Logging_ARE/artfynd/A 5418-2023.xlsx", "A 5418-2023")</f>
        <v/>
      </c>
      <c r="T103">
        <f>HYPERLINK("https://klasma.github.io/Logging_ARE/kartor/A 5418-2023.png", "A 5418-2023")</f>
        <v/>
      </c>
      <c r="V103">
        <f>HYPERLINK("https://klasma.github.io/Logging_ARE/klagomål/A 5418-2023.docx", "A 5418-2023")</f>
        <v/>
      </c>
      <c r="W103">
        <f>HYPERLINK("https://klasma.github.io/Logging_ARE/klagomålsmail/A 5418-2023.docx", "A 5418-2023")</f>
        <v/>
      </c>
      <c r="X103">
        <f>HYPERLINK("https://klasma.github.io/Logging_ARE/tillsyn/A 5418-2023.docx", "A 5418-2023")</f>
        <v/>
      </c>
      <c r="Y103">
        <f>HYPERLINK("https://klasma.github.io/Logging_ARE/tillsynsmail/A 5418-2023.docx", "A 5418-2023")</f>
        <v/>
      </c>
    </row>
    <row r="104" ht="15" customHeight="1">
      <c r="A104" t="inlineStr">
        <is>
          <t>A 5531-2023</t>
        </is>
      </c>
      <c r="B104" s="1" t="n">
        <v>44957</v>
      </c>
      <c r="C104" s="1" t="n">
        <v>45202</v>
      </c>
      <c r="D104" t="inlineStr">
        <is>
          <t>JÄMTLANDS LÄN</t>
        </is>
      </c>
      <c r="E104" t="inlineStr">
        <is>
          <t>ÅRE</t>
        </is>
      </c>
      <c r="G104" t="n">
        <v>3.8</v>
      </c>
      <c r="H104" t="n">
        <v>1</v>
      </c>
      <c r="I104" t="n">
        <v>0</v>
      </c>
      <c r="J104" t="n">
        <v>2</v>
      </c>
      <c r="K104" t="n">
        <v>0</v>
      </c>
      <c r="L104" t="n">
        <v>0</v>
      </c>
      <c r="M104" t="n">
        <v>0</v>
      </c>
      <c r="N104" t="n">
        <v>0</v>
      </c>
      <c r="O104" t="n">
        <v>2</v>
      </c>
      <c r="P104" t="n">
        <v>0</v>
      </c>
      <c r="Q104" t="n">
        <v>2</v>
      </c>
      <c r="R104" s="2" t="inlineStr">
        <is>
          <t>Granticka
Tretåig hackspett</t>
        </is>
      </c>
      <c r="S104">
        <f>HYPERLINK("https://klasma.github.io/Logging_ARE/artfynd/A 5531-2023.xlsx", "A 5531-2023")</f>
        <v/>
      </c>
      <c r="T104">
        <f>HYPERLINK("https://klasma.github.io/Logging_ARE/kartor/A 5531-2023.png", "A 5531-2023")</f>
        <v/>
      </c>
      <c r="V104">
        <f>HYPERLINK("https://klasma.github.io/Logging_ARE/klagomål/A 5531-2023.docx", "A 5531-2023")</f>
        <v/>
      </c>
      <c r="W104">
        <f>HYPERLINK("https://klasma.github.io/Logging_ARE/klagomålsmail/A 5531-2023.docx", "A 5531-2023")</f>
        <v/>
      </c>
      <c r="X104">
        <f>HYPERLINK("https://klasma.github.io/Logging_ARE/tillsyn/A 5531-2023.docx", "A 5531-2023")</f>
        <v/>
      </c>
      <c r="Y104">
        <f>HYPERLINK("https://klasma.github.io/Logging_ARE/tillsynsmail/A 5531-2023.docx", "A 5531-2023")</f>
        <v/>
      </c>
    </row>
    <row r="105" ht="15" customHeight="1">
      <c r="A105" t="inlineStr">
        <is>
          <t>A 6108-2023</t>
        </is>
      </c>
      <c r="B105" s="1" t="n">
        <v>44964</v>
      </c>
      <c r="C105" s="1" t="n">
        <v>45202</v>
      </c>
      <c r="D105" t="inlineStr">
        <is>
          <t>JÄMTLANDS LÄN</t>
        </is>
      </c>
      <c r="E105" t="inlineStr">
        <is>
          <t>ÅRE</t>
        </is>
      </c>
      <c r="G105" t="n">
        <v>15.4</v>
      </c>
      <c r="H105" t="n">
        <v>1</v>
      </c>
      <c r="I105" t="n">
        <v>0</v>
      </c>
      <c r="J105" t="n">
        <v>2</v>
      </c>
      <c r="K105" t="n">
        <v>0</v>
      </c>
      <c r="L105" t="n">
        <v>0</v>
      </c>
      <c r="M105" t="n">
        <v>0</v>
      </c>
      <c r="N105" t="n">
        <v>0</v>
      </c>
      <c r="O105" t="n">
        <v>2</v>
      </c>
      <c r="P105" t="n">
        <v>0</v>
      </c>
      <c r="Q105" t="n">
        <v>2</v>
      </c>
      <c r="R105" s="2" t="inlineStr">
        <is>
          <t>Skrovellav
Tretåig hackspett</t>
        </is>
      </c>
      <c r="S105">
        <f>HYPERLINK("https://klasma.github.io/Logging_ARE/artfynd/A 6108-2023.xlsx", "A 6108-2023")</f>
        <v/>
      </c>
      <c r="T105">
        <f>HYPERLINK("https://klasma.github.io/Logging_ARE/kartor/A 6108-2023.png", "A 6108-2023")</f>
        <v/>
      </c>
      <c r="V105">
        <f>HYPERLINK("https://klasma.github.io/Logging_ARE/klagomål/A 6108-2023.docx", "A 6108-2023")</f>
        <v/>
      </c>
      <c r="W105">
        <f>HYPERLINK("https://klasma.github.io/Logging_ARE/klagomålsmail/A 6108-2023.docx", "A 6108-2023")</f>
        <v/>
      </c>
      <c r="X105">
        <f>HYPERLINK("https://klasma.github.io/Logging_ARE/tillsyn/A 6108-2023.docx", "A 6108-2023")</f>
        <v/>
      </c>
      <c r="Y105">
        <f>HYPERLINK("https://klasma.github.io/Logging_ARE/tillsynsmail/A 6108-2023.docx", "A 6108-2023")</f>
        <v/>
      </c>
    </row>
    <row r="106" ht="15" customHeight="1">
      <c r="A106" t="inlineStr">
        <is>
          <t>A 6107-2023</t>
        </is>
      </c>
      <c r="B106" s="1" t="n">
        <v>44964</v>
      </c>
      <c r="C106" s="1" t="n">
        <v>45202</v>
      </c>
      <c r="D106" t="inlineStr">
        <is>
          <t>JÄMTLANDS LÄN</t>
        </is>
      </c>
      <c r="E106" t="inlineStr">
        <is>
          <t>ÅRE</t>
        </is>
      </c>
      <c r="G106" t="n">
        <v>1.9</v>
      </c>
      <c r="H106" t="n">
        <v>0</v>
      </c>
      <c r="I106" t="n">
        <v>1</v>
      </c>
      <c r="J106" t="n">
        <v>1</v>
      </c>
      <c r="K106" t="n">
        <v>0</v>
      </c>
      <c r="L106" t="n">
        <v>0</v>
      </c>
      <c r="M106" t="n">
        <v>0</v>
      </c>
      <c r="N106" t="n">
        <v>0</v>
      </c>
      <c r="O106" t="n">
        <v>1</v>
      </c>
      <c r="P106" t="n">
        <v>0</v>
      </c>
      <c r="Q106" t="n">
        <v>2</v>
      </c>
      <c r="R106" s="2" t="inlineStr">
        <is>
          <t>Skrovellav
Stuplav</t>
        </is>
      </c>
      <c r="S106">
        <f>HYPERLINK("https://klasma.github.io/Logging_ARE/artfynd/A 6107-2023.xlsx", "A 6107-2023")</f>
        <v/>
      </c>
      <c r="T106">
        <f>HYPERLINK("https://klasma.github.io/Logging_ARE/kartor/A 6107-2023.png", "A 6107-2023")</f>
        <v/>
      </c>
      <c r="V106">
        <f>HYPERLINK("https://klasma.github.io/Logging_ARE/klagomål/A 6107-2023.docx", "A 6107-2023")</f>
        <v/>
      </c>
      <c r="W106">
        <f>HYPERLINK("https://klasma.github.io/Logging_ARE/klagomålsmail/A 6107-2023.docx", "A 6107-2023")</f>
        <v/>
      </c>
      <c r="X106">
        <f>HYPERLINK("https://klasma.github.io/Logging_ARE/tillsyn/A 6107-2023.docx", "A 6107-2023")</f>
        <v/>
      </c>
      <c r="Y106">
        <f>HYPERLINK("https://klasma.github.io/Logging_ARE/tillsynsmail/A 6107-2023.docx", "A 6107-2023")</f>
        <v/>
      </c>
    </row>
    <row r="107" ht="15" customHeight="1">
      <c r="A107" t="inlineStr">
        <is>
          <t>A 7170-2023</t>
        </is>
      </c>
      <c r="B107" s="1" t="n">
        <v>44970</v>
      </c>
      <c r="C107" s="1" t="n">
        <v>45202</v>
      </c>
      <c r="D107" t="inlineStr">
        <is>
          <t>JÄMTLANDS LÄN</t>
        </is>
      </c>
      <c r="E107" t="inlineStr">
        <is>
          <t>ÅRE</t>
        </is>
      </c>
      <c r="F107" t="inlineStr">
        <is>
          <t>Övriga Aktiebolag</t>
        </is>
      </c>
      <c r="G107" t="n">
        <v>37.3</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7170-2023.xlsx", "A 7170-2023")</f>
        <v/>
      </c>
      <c r="T107">
        <f>HYPERLINK("https://klasma.github.io/Logging_ARE/kartor/A 7170-2023.png", "A 7170-2023")</f>
        <v/>
      </c>
      <c r="V107">
        <f>HYPERLINK("https://klasma.github.io/Logging_ARE/klagomål/A 7170-2023.docx", "A 7170-2023")</f>
        <v/>
      </c>
      <c r="W107">
        <f>HYPERLINK("https://klasma.github.io/Logging_ARE/klagomålsmail/A 7170-2023.docx", "A 7170-2023")</f>
        <v/>
      </c>
      <c r="X107">
        <f>HYPERLINK("https://klasma.github.io/Logging_ARE/tillsyn/A 7170-2023.docx", "A 7170-2023")</f>
        <v/>
      </c>
      <c r="Y107">
        <f>HYPERLINK("https://klasma.github.io/Logging_ARE/tillsynsmail/A 7170-2023.docx", "A 7170-2023")</f>
        <v/>
      </c>
    </row>
    <row r="108" ht="15" customHeight="1">
      <c r="A108" t="inlineStr">
        <is>
          <t>A 23706-2023</t>
        </is>
      </c>
      <c r="B108" s="1" t="n">
        <v>45072</v>
      </c>
      <c r="C108" s="1" t="n">
        <v>45202</v>
      </c>
      <c r="D108" t="inlineStr">
        <is>
          <t>JÄMTLANDS LÄN</t>
        </is>
      </c>
      <c r="E108" t="inlineStr">
        <is>
          <t>ÅRE</t>
        </is>
      </c>
      <c r="G108" t="n">
        <v>8.1</v>
      </c>
      <c r="H108" t="n">
        <v>1</v>
      </c>
      <c r="I108" t="n">
        <v>0</v>
      </c>
      <c r="J108" t="n">
        <v>2</v>
      </c>
      <c r="K108" t="n">
        <v>0</v>
      </c>
      <c r="L108" t="n">
        <v>0</v>
      </c>
      <c r="M108" t="n">
        <v>0</v>
      </c>
      <c r="N108" t="n">
        <v>0</v>
      </c>
      <c r="O108" t="n">
        <v>2</v>
      </c>
      <c r="P108" t="n">
        <v>0</v>
      </c>
      <c r="Q108" t="n">
        <v>2</v>
      </c>
      <c r="R108" s="2" t="inlineStr">
        <is>
          <t>Granticka
Tretåig hackspett</t>
        </is>
      </c>
      <c r="S108">
        <f>HYPERLINK("https://klasma.github.io/Logging_ARE/artfynd/A 23706-2023.xlsx", "A 23706-2023")</f>
        <v/>
      </c>
      <c r="T108">
        <f>HYPERLINK("https://klasma.github.io/Logging_ARE/kartor/A 23706-2023.png", "A 23706-2023")</f>
        <v/>
      </c>
      <c r="V108">
        <f>HYPERLINK("https://klasma.github.io/Logging_ARE/klagomål/A 23706-2023.docx", "A 23706-2023")</f>
        <v/>
      </c>
      <c r="W108">
        <f>HYPERLINK("https://klasma.github.io/Logging_ARE/klagomålsmail/A 23706-2023.docx", "A 23706-2023")</f>
        <v/>
      </c>
      <c r="X108">
        <f>HYPERLINK("https://klasma.github.io/Logging_ARE/tillsyn/A 23706-2023.docx", "A 23706-2023")</f>
        <v/>
      </c>
      <c r="Y108">
        <f>HYPERLINK("https://klasma.github.io/Logging_ARE/tillsynsmail/A 23706-2023.docx", "A 23706-2023")</f>
        <v/>
      </c>
    </row>
    <row r="109" ht="15" customHeight="1">
      <c r="A109" t="inlineStr">
        <is>
          <t>A 26098-2023</t>
        </is>
      </c>
      <c r="B109" s="1" t="n">
        <v>45091</v>
      </c>
      <c r="C109" s="1" t="n">
        <v>45202</v>
      </c>
      <c r="D109" t="inlineStr">
        <is>
          <t>JÄMTLANDS LÄN</t>
        </is>
      </c>
      <c r="E109" t="inlineStr">
        <is>
          <t>ÅRE</t>
        </is>
      </c>
      <c r="G109" t="n">
        <v>15.7</v>
      </c>
      <c r="H109" t="n">
        <v>0</v>
      </c>
      <c r="I109" t="n">
        <v>0</v>
      </c>
      <c r="J109" t="n">
        <v>2</v>
      </c>
      <c r="K109" t="n">
        <v>0</v>
      </c>
      <c r="L109" t="n">
        <v>0</v>
      </c>
      <c r="M109" t="n">
        <v>0</v>
      </c>
      <c r="N109" t="n">
        <v>0</v>
      </c>
      <c r="O109" t="n">
        <v>2</v>
      </c>
      <c r="P109" t="n">
        <v>0</v>
      </c>
      <c r="Q109" t="n">
        <v>2</v>
      </c>
      <c r="R109" s="2" t="inlineStr">
        <is>
          <t>Lunglav
Skrovellav</t>
        </is>
      </c>
      <c r="S109">
        <f>HYPERLINK("https://klasma.github.io/Logging_ARE/artfynd/A 26098-2023.xlsx", "A 26098-2023")</f>
        <v/>
      </c>
      <c r="T109">
        <f>HYPERLINK("https://klasma.github.io/Logging_ARE/kartor/A 26098-2023.png", "A 26098-2023")</f>
        <v/>
      </c>
      <c r="V109">
        <f>HYPERLINK("https://klasma.github.io/Logging_ARE/klagomål/A 26098-2023.docx", "A 26098-2023")</f>
        <v/>
      </c>
      <c r="W109">
        <f>HYPERLINK("https://klasma.github.io/Logging_ARE/klagomålsmail/A 26098-2023.docx", "A 26098-2023")</f>
        <v/>
      </c>
      <c r="X109">
        <f>HYPERLINK("https://klasma.github.io/Logging_ARE/tillsyn/A 26098-2023.docx", "A 26098-2023")</f>
        <v/>
      </c>
      <c r="Y109">
        <f>HYPERLINK("https://klasma.github.io/Logging_ARE/tillsynsmail/A 26098-2023.docx", "A 26098-2023")</f>
        <v/>
      </c>
    </row>
    <row r="110" ht="15" customHeight="1">
      <c r="A110" t="inlineStr">
        <is>
          <t>A 33947-2018</t>
        </is>
      </c>
      <c r="B110" s="1" t="n">
        <v>43314</v>
      </c>
      <c r="C110" s="1" t="n">
        <v>45202</v>
      </c>
      <c r="D110" t="inlineStr">
        <is>
          <t>JÄMTLANDS LÄN</t>
        </is>
      </c>
      <c r="E110" t="inlineStr">
        <is>
          <t>ÅRE</t>
        </is>
      </c>
      <c r="F110" t="inlineStr">
        <is>
          <t>Övriga Aktiebolag</t>
        </is>
      </c>
      <c r="G110" t="n">
        <v>8.5</v>
      </c>
      <c r="H110" t="n">
        <v>0</v>
      </c>
      <c r="I110" t="n">
        <v>0</v>
      </c>
      <c r="J110" t="n">
        <v>0</v>
      </c>
      <c r="K110" t="n">
        <v>1</v>
      </c>
      <c r="L110" t="n">
        <v>0</v>
      </c>
      <c r="M110" t="n">
        <v>0</v>
      </c>
      <c r="N110" t="n">
        <v>0</v>
      </c>
      <c r="O110" t="n">
        <v>1</v>
      </c>
      <c r="P110" t="n">
        <v>1</v>
      </c>
      <c r="Q110" t="n">
        <v>1</v>
      </c>
      <c r="R110" s="2" t="inlineStr">
        <is>
          <t>Norsk näverlav</t>
        </is>
      </c>
      <c r="S110">
        <f>HYPERLINK("https://klasma.github.io/Logging_ARE/artfynd/A 33947-2018.xlsx", "A 33947-2018")</f>
        <v/>
      </c>
      <c r="T110">
        <f>HYPERLINK("https://klasma.github.io/Logging_ARE/kartor/A 33947-2018.png", "A 33947-2018")</f>
        <v/>
      </c>
      <c r="V110">
        <f>HYPERLINK("https://klasma.github.io/Logging_ARE/klagomål/A 33947-2018.docx", "A 33947-2018")</f>
        <v/>
      </c>
      <c r="W110">
        <f>HYPERLINK("https://klasma.github.io/Logging_ARE/klagomålsmail/A 33947-2018.docx", "A 33947-2018")</f>
        <v/>
      </c>
      <c r="X110">
        <f>HYPERLINK("https://klasma.github.io/Logging_ARE/tillsyn/A 33947-2018.docx", "A 33947-2018")</f>
        <v/>
      </c>
      <c r="Y110">
        <f>HYPERLINK("https://klasma.github.io/Logging_ARE/tillsynsmail/A 33947-2018.docx", "A 33947-2018")</f>
        <v/>
      </c>
    </row>
    <row r="111" ht="15" customHeight="1">
      <c r="A111" t="inlineStr">
        <is>
          <t>A 64479-2018</t>
        </is>
      </c>
      <c r="B111" s="1" t="n">
        <v>43431</v>
      </c>
      <c r="C111" s="1" t="n">
        <v>45202</v>
      </c>
      <c r="D111" t="inlineStr">
        <is>
          <t>JÄMTLANDS LÄN</t>
        </is>
      </c>
      <c r="E111" t="inlineStr">
        <is>
          <t>ÅRE</t>
        </is>
      </c>
      <c r="G111" t="n">
        <v>10.1</v>
      </c>
      <c r="H111" t="n">
        <v>1</v>
      </c>
      <c r="I111" t="n">
        <v>0</v>
      </c>
      <c r="J111" t="n">
        <v>1</v>
      </c>
      <c r="K111" t="n">
        <v>0</v>
      </c>
      <c r="L111" t="n">
        <v>0</v>
      </c>
      <c r="M111" t="n">
        <v>0</v>
      </c>
      <c r="N111" t="n">
        <v>0</v>
      </c>
      <c r="O111" t="n">
        <v>1</v>
      </c>
      <c r="P111" t="n">
        <v>0</v>
      </c>
      <c r="Q111" t="n">
        <v>1</v>
      </c>
      <c r="R111" s="2" t="inlineStr">
        <is>
          <t>Tretåig hackspett</t>
        </is>
      </c>
      <c r="S111">
        <f>HYPERLINK("https://klasma.github.io/Logging_ARE/artfynd/A 64479-2018.xlsx", "A 64479-2018")</f>
        <v/>
      </c>
      <c r="T111">
        <f>HYPERLINK("https://klasma.github.io/Logging_ARE/kartor/A 64479-2018.png", "A 64479-2018")</f>
        <v/>
      </c>
      <c r="V111">
        <f>HYPERLINK("https://klasma.github.io/Logging_ARE/klagomål/A 64479-2018.docx", "A 64479-2018")</f>
        <v/>
      </c>
      <c r="W111">
        <f>HYPERLINK("https://klasma.github.io/Logging_ARE/klagomålsmail/A 64479-2018.docx", "A 64479-2018")</f>
        <v/>
      </c>
      <c r="X111">
        <f>HYPERLINK("https://klasma.github.io/Logging_ARE/tillsyn/A 64479-2018.docx", "A 64479-2018")</f>
        <v/>
      </c>
      <c r="Y111">
        <f>HYPERLINK("https://klasma.github.io/Logging_ARE/tillsynsmail/A 64479-2018.docx", "A 64479-2018")</f>
        <v/>
      </c>
    </row>
    <row r="112" ht="15" customHeight="1">
      <c r="A112" t="inlineStr">
        <is>
          <t>A 53603-2019</t>
        </is>
      </c>
      <c r="B112" s="1" t="n">
        <v>43749</v>
      </c>
      <c r="C112" s="1" t="n">
        <v>45202</v>
      </c>
      <c r="D112" t="inlineStr">
        <is>
          <t>JÄMTLANDS LÄN</t>
        </is>
      </c>
      <c r="E112" t="inlineStr">
        <is>
          <t>ÅRE</t>
        </is>
      </c>
      <c r="F112" t="inlineStr">
        <is>
          <t>Kyrkan</t>
        </is>
      </c>
      <c r="G112" t="n">
        <v>13.6</v>
      </c>
      <c r="H112" t="n">
        <v>0</v>
      </c>
      <c r="I112" t="n">
        <v>0</v>
      </c>
      <c r="J112" t="n">
        <v>1</v>
      </c>
      <c r="K112" t="n">
        <v>0</v>
      </c>
      <c r="L112" t="n">
        <v>0</v>
      </c>
      <c r="M112" t="n">
        <v>0</v>
      </c>
      <c r="N112" t="n">
        <v>0</v>
      </c>
      <c r="O112" t="n">
        <v>1</v>
      </c>
      <c r="P112" t="n">
        <v>0</v>
      </c>
      <c r="Q112" t="n">
        <v>1</v>
      </c>
      <c r="R112" s="2" t="inlineStr">
        <is>
          <t>Granticka</t>
        </is>
      </c>
      <c r="S112">
        <f>HYPERLINK("https://klasma.github.io/Logging_ARE/artfynd/A 53603-2019.xlsx", "A 53603-2019")</f>
        <v/>
      </c>
      <c r="T112">
        <f>HYPERLINK("https://klasma.github.io/Logging_ARE/kartor/A 53603-2019.png", "A 53603-2019")</f>
        <v/>
      </c>
      <c r="V112">
        <f>HYPERLINK("https://klasma.github.io/Logging_ARE/klagomål/A 53603-2019.docx", "A 53603-2019")</f>
        <v/>
      </c>
      <c r="W112">
        <f>HYPERLINK("https://klasma.github.io/Logging_ARE/klagomålsmail/A 53603-2019.docx", "A 53603-2019")</f>
        <v/>
      </c>
      <c r="X112">
        <f>HYPERLINK("https://klasma.github.io/Logging_ARE/tillsyn/A 53603-2019.docx", "A 53603-2019")</f>
        <v/>
      </c>
      <c r="Y112">
        <f>HYPERLINK("https://klasma.github.io/Logging_ARE/tillsynsmail/A 53603-2019.docx", "A 53603-2019")</f>
        <v/>
      </c>
    </row>
    <row r="113" ht="15" customHeight="1">
      <c r="A113" t="inlineStr">
        <is>
          <t>A 59825-2019</t>
        </is>
      </c>
      <c r="B113" s="1" t="n">
        <v>43774</v>
      </c>
      <c r="C113" s="1" t="n">
        <v>45202</v>
      </c>
      <c r="D113" t="inlineStr">
        <is>
          <t>JÄMTLANDS LÄN</t>
        </is>
      </c>
      <c r="E113" t="inlineStr">
        <is>
          <t>ÅRE</t>
        </is>
      </c>
      <c r="G113" t="n">
        <v>6.8</v>
      </c>
      <c r="H113" t="n">
        <v>0</v>
      </c>
      <c r="I113" t="n">
        <v>0</v>
      </c>
      <c r="J113" t="n">
        <v>1</v>
      </c>
      <c r="K113" t="n">
        <v>0</v>
      </c>
      <c r="L113" t="n">
        <v>0</v>
      </c>
      <c r="M113" t="n">
        <v>0</v>
      </c>
      <c r="N113" t="n">
        <v>0</v>
      </c>
      <c r="O113" t="n">
        <v>1</v>
      </c>
      <c r="P113" t="n">
        <v>0</v>
      </c>
      <c r="Q113" t="n">
        <v>1</v>
      </c>
      <c r="R113" s="2" t="inlineStr">
        <is>
          <t>Lunglav</t>
        </is>
      </c>
      <c r="S113">
        <f>HYPERLINK("https://klasma.github.io/Logging_ARE/artfynd/A 59825-2019.xlsx", "A 59825-2019")</f>
        <v/>
      </c>
      <c r="T113">
        <f>HYPERLINK("https://klasma.github.io/Logging_ARE/kartor/A 59825-2019.png", "A 59825-2019")</f>
        <v/>
      </c>
      <c r="V113">
        <f>HYPERLINK("https://klasma.github.io/Logging_ARE/klagomål/A 59825-2019.docx", "A 59825-2019")</f>
        <v/>
      </c>
      <c r="W113">
        <f>HYPERLINK("https://klasma.github.io/Logging_ARE/klagomålsmail/A 59825-2019.docx", "A 59825-2019")</f>
        <v/>
      </c>
      <c r="X113">
        <f>HYPERLINK("https://klasma.github.io/Logging_ARE/tillsyn/A 59825-2019.docx", "A 59825-2019")</f>
        <v/>
      </c>
      <c r="Y113">
        <f>HYPERLINK("https://klasma.github.io/Logging_ARE/tillsynsmail/A 59825-2019.docx", "A 59825-2019")</f>
        <v/>
      </c>
    </row>
    <row r="114" ht="15" customHeight="1">
      <c r="A114" t="inlineStr">
        <is>
          <t>A 29084-2020</t>
        </is>
      </c>
      <c r="B114" s="1" t="n">
        <v>44002</v>
      </c>
      <c r="C114" s="1" t="n">
        <v>45202</v>
      </c>
      <c r="D114" t="inlineStr">
        <is>
          <t>JÄMTLANDS LÄN</t>
        </is>
      </c>
      <c r="E114" t="inlineStr">
        <is>
          <t>ÅRE</t>
        </is>
      </c>
      <c r="G114" t="n">
        <v>15.5</v>
      </c>
      <c r="H114" t="n">
        <v>0</v>
      </c>
      <c r="I114" t="n">
        <v>0</v>
      </c>
      <c r="J114" t="n">
        <v>1</v>
      </c>
      <c r="K114" t="n">
        <v>0</v>
      </c>
      <c r="L114" t="n">
        <v>0</v>
      </c>
      <c r="M114" t="n">
        <v>0</v>
      </c>
      <c r="N114" t="n">
        <v>0</v>
      </c>
      <c r="O114" t="n">
        <v>1</v>
      </c>
      <c r="P114" t="n">
        <v>0</v>
      </c>
      <c r="Q114" t="n">
        <v>1</v>
      </c>
      <c r="R114" s="2" t="inlineStr">
        <is>
          <t>Gränsticka</t>
        </is>
      </c>
      <c r="S114">
        <f>HYPERLINK("https://klasma.github.io/Logging_ARE/artfynd/A 29084-2020.xlsx", "A 29084-2020")</f>
        <v/>
      </c>
      <c r="T114">
        <f>HYPERLINK("https://klasma.github.io/Logging_ARE/kartor/A 29084-2020.png", "A 29084-2020")</f>
        <v/>
      </c>
      <c r="V114">
        <f>HYPERLINK("https://klasma.github.io/Logging_ARE/klagomål/A 29084-2020.docx", "A 29084-2020")</f>
        <v/>
      </c>
      <c r="W114">
        <f>HYPERLINK("https://klasma.github.io/Logging_ARE/klagomålsmail/A 29084-2020.docx", "A 29084-2020")</f>
        <v/>
      </c>
      <c r="X114">
        <f>HYPERLINK("https://klasma.github.io/Logging_ARE/tillsyn/A 29084-2020.docx", "A 29084-2020")</f>
        <v/>
      </c>
      <c r="Y114">
        <f>HYPERLINK("https://klasma.github.io/Logging_ARE/tillsynsmail/A 29084-2020.docx", "A 29084-2020")</f>
        <v/>
      </c>
    </row>
    <row r="115" ht="15" customHeight="1">
      <c r="A115" t="inlineStr">
        <is>
          <t>A 46959-2020</t>
        </is>
      </c>
      <c r="B115" s="1" t="n">
        <v>44090</v>
      </c>
      <c r="C115" s="1" t="n">
        <v>45202</v>
      </c>
      <c r="D115" t="inlineStr">
        <is>
          <t>JÄMTLANDS LÄN</t>
        </is>
      </c>
      <c r="E115" t="inlineStr">
        <is>
          <t>ÅRE</t>
        </is>
      </c>
      <c r="G115" t="n">
        <v>4.7</v>
      </c>
      <c r="H115" t="n">
        <v>1</v>
      </c>
      <c r="I115" t="n">
        <v>0</v>
      </c>
      <c r="J115" t="n">
        <v>1</v>
      </c>
      <c r="K115" t="n">
        <v>0</v>
      </c>
      <c r="L115" t="n">
        <v>0</v>
      </c>
      <c r="M115" t="n">
        <v>0</v>
      </c>
      <c r="N115" t="n">
        <v>0</v>
      </c>
      <c r="O115" t="n">
        <v>1</v>
      </c>
      <c r="P115" t="n">
        <v>0</v>
      </c>
      <c r="Q115" t="n">
        <v>1</v>
      </c>
      <c r="R115" s="2" t="inlineStr">
        <is>
          <t>Tretåig hackspett</t>
        </is>
      </c>
      <c r="S115">
        <f>HYPERLINK("https://klasma.github.io/Logging_ARE/artfynd/A 46959-2020.xlsx", "A 46959-2020")</f>
        <v/>
      </c>
      <c r="T115">
        <f>HYPERLINK("https://klasma.github.io/Logging_ARE/kartor/A 46959-2020.png", "A 46959-2020")</f>
        <v/>
      </c>
      <c r="V115">
        <f>HYPERLINK("https://klasma.github.io/Logging_ARE/klagomål/A 46959-2020.docx", "A 46959-2020")</f>
        <v/>
      </c>
      <c r="W115">
        <f>HYPERLINK("https://klasma.github.io/Logging_ARE/klagomålsmail/A 46959-2020.docx", "A 46959-2020")</f>
        <v/>
      </c>
      <c r="X115">
        <f>HYPERLINK("https://klasma.github.io/Logging_ARE/tillsyn/A 46959-2020.docx", "A 46959-2020")</f>
        <v/>
      </c>
      <c r="Y115">
        <f>HYPERLINK("https://klasma.github.io/Logging_ARE/tillsynsmail/A 46959-2020.docx", "A 46959-2020")</f>
        <v/>
      </c>
    </row>
    <row r="116" ht="15" customHeight="1">
      <c r="A116" t="inlineStr">
        <is>
          <t>A 46966-2020</t>
        </is>
      </c>
      <c r="B116" s="1" t="n">
        <v>44090</v>
      </c>
      <c r="C116" s="1" t="n">
        <v>45202</v>
      </c>
      <c r="D116" t="inlineStr">
        <is>
          <t>JÄMTLANDS LÄN</t>
        </is>
      </c>
      <c r="E116" t="inlineStr">
        <is>
          <t>ÅRE</t>
        </is>
      </c>
      <c r="G116" t="n">
        <v>13.7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46966-2020.xlsx", "A 46966-2020")</f>
        <v/>
      </c>
      <c r="T116">
        <f>HYPERLINK("https://klasma.github.io/Logging_ARE/kartor/A 46966-2020.png", "A 46966-2020")</f>
        <v/>
      </c>
      <c r="V116">
        <f>HYPERLINK("https://klasma.github.io/Logging_ARE/klagomål/A 46966-2020.docx", "A 46966-2020")</f>
        <v/>
      </c>
      <c r="W116">
        <f>HYPERLINK("https://klasma.github.io/Logging_ARE/klagomålsmail/A 46966-2020.docx", "A 46966-2020")</f>
        <v/>
      </c>
      <c r="X116">
        <f>HYPERLINK("https://klasma.github.io/Logging_ARE/tillsyn/A 46966-2020.docx", "A 46966-2020")</f>
        <v/>
      </c>
      <c r="Y116">
        <f>HYPERLINK("https://klasma.github.io/Logging_ARE/tillsynsmail/A 46966-2020.docx", "A 46966-2020")</f>
        <v/>
      </c>
    </row>
    <row r="117" ht="15" customHeight="1">
      <c r="A117" t="inlineStr">
        <is>
          <t>A 52542-2020</t>
        </is>
      </c>
      <c r="B117" s="1" t="n">
        <v>44116</v>
      </c>
      <c r="C117" s="1" t="n">
        <v>45202</v>
      </c>
      <c r="D117" t="inlineStr">
        <is>
          <t>JÄMTLANDS LÄN</t>
        </is>
      </c>
      <c r="E117" t="inlineStr">
        <is>
          <t>ÅRE</t>
        </is>
      </c>
      <c r="G117" t="n">
        <v>5.5</v>
      </c>
      <c r="H117" t="n">
        <v>0</v>
      </c>
      <c r="I117" t="n">
        <v>0</v>
      </c>
      <c r="J117" t="n">
        <v>1</v>
      </c>
      <c r="K117" t="n">
        <v>0</v>
      </c>
      <c r="L117" t="n">
        <v>0</v>
      </c>
      <c r="M117" t="n">
        <v>0</v>
      </c>
      <c r="N117" t="n">
        <v>0</v>
      </c>
      <c r="O117" t="n">
        <v>1</v>
      </c>
      <c r="P117" t="n">
        <v>0</v>
      </c>
      <c r="Q117" t="n">
        <v>1</v>
      </c>
      <c r="R117" s="2" t="inlineStr">
        <is>
          <t>Skrovellav</t>
        </is>
      </c>
      <c r="S117">
        <f>HYPERLINK("https://klasma.github.io/Logging_ARE/artfynd/A 52542-2020.xlsx", "A 52542-2020")</f>
        <v/>
      </c>
      <c r="T117">
        <f>HYPERLINK("https://klasma.github.io/Logging_ARE/kartor/A 52542-2020.png", "A 52542-2020")</f>
        <v/>
      </c>
      <c r="V117">
        <f>HYPERLINK("https://klasma.github.io/Logging_ARE/klagomål/A 52542-2020.docx", "A 52542-2020")</f>
        <v/>
      </c>
      <c r="W117">
        <f>HYPERLINK("https://klasma.github.io/Logging_ARE/klagomålsmail/A 52542-2020.docx", "A 52542-2020")</f>
        <v/>
      </c>
      <c r="X117">
        <f>HYPERLINK("https://klasma.github.io/Logging_ARE/tillsyn/A 52542-2020.docx", "A 52542-2020")</f>
        <v/>
      </c>
      <c r="Y117">
        <f>HYPERLINK("https://klasma.github.io/Logging_ARE/tillsynsmail/A 52542-2020.docx", "A 52542-2020")</f>
        <v/>
      </c>
    </row>
    <row r="118" ht="15" customHeight="1">
      <c r="A118" t="inlineStr">
        <is>
          <t>A 52095-2020</t>
        </is>
      </c>
      <c r="B118" s="1" t="n">
        <v>44117</v>
      </c>
      <c r="C118" s="1" t="n">
        <v>45202</v>
      </c>
      <c r="D118" t="inlineStr">
        <is>
          <t>JÄMTLANDS LÄN</t>
        </is>
      </c>
      <c r="E118" t="inlineStr">
        <is>
          <t>ÅRE</t>
        </is>
      </c>
      <c r="G118" t="n">
        <v>4.1</v>
      </c>
      <c r="H118" t="n">
        <v>0</v>
      </c>
      <c r="I118" t="n">
        <v>0</v>
      </c>
      <c r="J118" t="n">
        <v>1</v>
      </c>
      <c r="K118" t="n">
        <v>0</v>
      </c>
      <c r="L118" t="n">
        <v>0</v>
      </c>
      <c r="M118" t="n">
        <v>0</v>
      </c>
      <c r="N118" t="n">
        <v>0</v>
      </c>
      <c r="O118" t="n">
        <v>1</v>
      </c>
      <c r="P118" t="n">
        <v>0</v>
      </c>
      <c r="Q118" t="n">
        <v>1</v>
      </c>
      <c r="R118" s="2" t="inlineStr">
        <is>
          <t>Dofttaggsvamp</t>
        </is>
      </c>
      <c r="S118">
        <f>HYPERLINK("https://klasma.github.io/Logging_ARE/artfynd/A 52095-2020.xlsx", "A 52095-2020")</f>
        <v/>
      </c>
      <c r="T118">
        <f>HYPERLINK("https://klasma.github.io/Logging_ARE/kartor/A 52095-2020.png", "A 52095-2020")</f>
        <v/>
      </c>
      <c r="V118">
        <f>HYPERLINK("https://klasma.github.io/Logging_ARE/klagomål/A 52095-2020.docx", "A 52095-2020")</f>
        <v/>
      </c>
      <c r="W118">
        <f>HYPERLINK("https://klasma.github.io/Logging_ARE/klagomålsmail/A 52095-2020.docx", "A 52095-2020")</f>
        <v/>
      </c>
      <c r="X118">
        <f>HYPERLINK("https://klasma.github.io/Logging_ARE/tillsyn/A 52095-2020.docx", "A 52095-2020")</f>
        <v/>
      </c>
      <c r="Y118">
        <f>HYPERLINK("https://klasma.github.io/Logging_ARE/tillsynsmail/A 52095-2020.docx", "A 52095-2020")</f>
        <v/>
      </c>
    </row>
    <row r="119" ht="15" customHeight="1">
      <c r="A119" t="inlineStr">
        <is>
          <t>A 53598-2020</t>
        </is>
      </c>
      <c r="B119" s="1" t="n">
        <v>44124</v>
      </c>
      <c r="C119" s="1" t="n">
        <v>45202</v>
      </c>
      <c r="D119" t="inlineStr">
        <is>
          <t>JÄMTLANDS LÄN</t>
        </is>
      </c>
      <c r="E119" t="inlineStr">
        <is>
          <t>ÅRE</t>
        </is>
      </c>
      <c r="G119" t="n">
        <v>11.7</v>
      </c>
      <c r="H119" t="n">
        <v>1</v>
      </c>
      <c r="I119" t="n">
        <v>0</v>
      </c>
      <c r="J119" t="n">
        <v>1</v>
      </c>
      <c r="K119" t="n">
        <v>0</v>
      </c>
      <c r="L119" t="n">
        <v>0</v>
      </c>
      <c r="M119" t="n">
        <v>0</v>
      </c>
      <c r="N119" t="n">
        <v>0</v>
      </c>
      <c r="O119" t="n">
        <v>1</v>
      </c>
      <c r="P119" t="n">
        <v>0</v>
      </c>
      <c r="Q119" t="n">
        <v>1</v>
      </c>
      <c r="R119" s="2" t="inlineStr">
        <is>
          <t>Tretåig hackspett</t>
        </is>
      </c>
      <c r="S119">
        <f>HYPERLINK("https://klasma.github.io/Logging_ARE/artfynd/A 53598-2020.xlsx", "A 53598-2020")</f>
        <v/>
      </c>
      <c r="T119">
        <f>HYPERLINK("https://klasma.github.io/Logging_ARE/kartor/A 53598-2020.png", "A 53598-2020")</f>
        <v/>
      </c>
      <c r="V119">
        <f>HYPERLINK("https://klasma.github.io/Logging_ARE/klagomål/A 53598-2020.docx", "A 53598-2020")</f>
        <v/>
      </c>
      <c r="W119">
        <f>HYPERLINK("https://klasma.github.io/Logging_ARE/klagomålsmail/A 53598-2020.docx", "A 53598-2020")</f>
        <v/>
      </c>
      <c r="X119">
        <f>HYPERLINK("https://klasma.github.io/Logging_ARE/tillsyn/A 53598-2020.docx", "A 53598-2020")</f>
        <v/>
      </c>
      <c r="Y119">
        <f>HYPERLINK("https://klasma.github.io/Logging_ARE/tillsynsmail/A 53598-2020.docx", "A 53598-2020")</f>
        <v/>
      </c>
    </row>
    <row r="120" ht="15" customHeight="1">
      <c r="A120" t="inlineStr">
        <is>
          <t>A 65517-2020</t>
        </is>
      </c>
      <c r="B120" s="1" t="n">
        <v>44173</v>
      </c>
      <c r="C120" s="1" t="n">
        <v>45202</v>
      </c>
      <c r="D120" t="inlineStr">
        <is>
          <t>JÄMTLANDS LÄN</t>
        </is>
      </c>
      <c r="E120" t="inlineStr">
        <is>
          <t>ÅRE</t>
        </is>
      </c>
      <c r="G120" t="n">
        <v>4.6</v>
      </c>
      <c r="H120" t="n">
        <v>0</v>
      </c>
      <c r="I120" t="n">
        <v>0</v>
      </c>
      <c r="J120" t="n">
        <v>1</v>
      </c>
      <c r="K120" t="n">
        <v>0</v>
      </c>
      <c r="L120" t="n">
        <v>0</v>
      </c>
      <c r="M120" t="n">
        <v>0</v>
      </c>
      <c r="N120" t="n">
        <v>0</v>
      </c>
      <c r="O120" t="n">
        <v>1</v>
      </c>
      <c r="P120" t="n">
        <v>0</v>
      </c>
      <c r="Q120" t="n">
        <v>1</v>
      </c>
      <c r="R120" s="2" t="inlineStr">
        <is>
          <t>Doftskinn</t>
        </is>
      </c>
      <c r="S120">
        <f>HYPERLINK("https://klasma.github.io/Logging_ARE/artfynd/A 65517-2020.xlsx", "A 65517-2020")</f>
        <v/>
      </c>
      <c r="T120">
        <f>HYPERLINK("https://klasma.github.io/Logging_ARE/kartor/A 65517-2020.png", "A 65517-2020")</f>
        <v/>
      </c>
      <c r="V120">
        <f>HYPERLINK("https://klasma.github.io/Logging_ARE/klagomål/A 65517-2020.docx", "A 65517-2020")</f>
        <v/>
      </c>
      <c r="W120">
        <f>HYPERLINK("https://klasma.github.io/Logging_ARE/klagomålsmail/A 65517-2020.docx", "A 65517-2020")</f>
        <v/>
      </c>
      <c r="X120">
        <f>HYPERLINK("https://klasma.github.io/Logging_ARE/tillsyn/A 65517-2020.docx", "A 65517-2020")</f>
        <v/>
      </c>
      <c r="Y120">
        <f>HYPERLINK("https://klasma.github.io/Logging_ARE/tillsynsmail/A 65517-2020.docx", "A 65517-2020")</f>
        <v/>
      </c>
    </row>
    <row r="121" ht="15" customHeight="1">
      <c r="A121" t="inlineStr">
        <is>
          <t>A 65446-2020</t>
        </is>
      </c>
      <c r="B121" s="1" t="n">
        <v>44173</v>
      </c>
      <c r="C121" s="1" t="n">
        <v>45202</v>
      </c>
      <c r="D121" t="inlineStr">
        <is>
          <t>JÄMTLANDS LÄN</t>
        </is>
      </c>
      <c r="E121" t="inlineStr">
        <is>
          <t>ÅRE</t>
        </is>
      </c>
      <c r="G121" t="n">
        <v>7.2</v>
      </c>
      <c r="H121" t="n">
        <v>0</v>
      </c>
      <c r="I121" t="n">
        <v>0</v>
      </c>
      <c r="J121" t="n">
        <v>1</v>
      </c>
      <c r="K121" t="n">
        <v>0</v>
      </c>
      <c r="L121" t="n">
        <v>0</v>
      </c>
      <c r="M121" t="n">
        <v>0</v>
      </c>
      <c r="N121" t="n">
        <v>0</v>
      </c>
      <c r="O121" t="n">
        <v>1</v>
      </c>
      <c r="P121" t="n">
        <v>0</v>
      </c>
      <c r="Q121" t="n">
        <v>1</v>
      </c>
      <c r="R121" s="2" t="inlineStr">
        <is>
          <t>Ullticka</t>
        </is>
      </c>
      <c r="S121">
        <f>HYPERLINK("https://klasma.github.io/Logging_ARE/artfynd/A 65446-2020.xlsx", "A 65446-2020")</f>
        <v/>
      </c>
      <c r="T121">
        <f>HYPERLINK("https://klasma.github.io/Logging_ARE/kartor/A 65446-2020.png", "A 65446-2020")</f>
        <v/>
      </c>
      <c r="V121">
        <f>HYPERLINK("https://klasma.github.io/Logging_ARE/klagomål/A 65446-2020.docx", "A 65446-2020")</f>
        <v/>
      </c>
      <c r="W121">
        <f>HYPERLINK("https://klasma.github.io/Logging_ARE/klagomålsmail/A 65446-2020.docx", "A 65446-2020")</f>
        <v/>
      </c>
      <c r="X121">
        <f>HYPERLINK("https://klasma.github.io/Logging_ARE/tillsyn/A 65446-2020.docx", "A 65446-2020")</f>
        <v/>
      </c>
      <c r="Y121">
        <f>HYPERLINK("https://klasma.github.io/Logging_ARE/tillsynsmail/A 65446-2020.docx", "A 65446-2020")</f>
        <v/>
      </c>
    </row>
    <row r="122" ht="15" customHeight="1">
      <c r="A122" t="inlineStr">
        <is>
          <t>A 11781-2021</t>
        </is>
      </c>
      <c r="B122" s="1" t="n">
        <v>44265</v>
      </c>
      <c r="C122" s="1" t="n">
        <v>45202</v>
      </c>
      <c r="D122" t="inlineStr">
        <is>
          <t>JÄMTLANDS LÄN</t>
        </is>
      </c>
      <c r="E122" t="inlineStr">
        <is>
          <t>ÅRE</t>
        </is>
      </c>
      <c r="G122" t="n">
        <v>4.1</v>
      </c>
      <c r="H122" t="n">
        <v>0</v>
      </c>
      <c r="I122" t="n">
        <v>1</v>
      </c>
      <c r="J122" t="n">
        <v>0</v>
      </c>
      <c r="K122" t="n">
        <v>0</v>
      </c>
      <c r="L122" t="n">
        <v>0</v>
      </c>
      <c r="M122" t="n">
        <v>0</v>
      </c>
      <c r="N122" t="n">
        <v>0</v>
      </c>
      <c r="O122" t="n">
        <v>0</v>
      </c>
      <c r="P122" t="n">
        <v>0</v>
      </c>
      <c r="Q122" t="n">
        <v>1</v>
      </c>
      <c r="R122" s="2" t="inlineStr">
        <is>
          <t>Finbräken</t>
        </is>
      </c>
      <c r="S122">
        <f>HYPERLINK("https://klasma.github.io/Logging_ARE/artfynd/A 11781-2021.xlsx", "A 11781-2021")</f>
        <v/>
      </c>
      <c r="T122">
        <f>HYPERLINK("https://klasma.github.io/Logging_ARE/kartor/A 11781-2021.png", "A 11781-2021")</f>
        <v/>
      </c>
      <c r="V122">
        <f>HYPERLINK("https://klasma.github.io/Logging_ARE/klagomål/A 11781-2021.docx", "A 11781-2021")</f>
        <v/>
      </c>
      <c r="W122">
        <f>HYPERLINK("https://klasma.github.io/Logging_ARE/klagomålsmail/A 11781-2021.docx", "A 11781-2021")</f>
        <v/>
      </c>
      <c r="X122">
        <f>HYPERLINK("https://klasma.github.io/Logging_ARE/tillsyn/A 11781-2021.docx", "A 11781-2021")</f>
        <v/>
      </c>
      <c r="Y122">
        <f>HYPERLINK("https://klasma.github.io/Logging_ARE/tillsynsmail/A 11781-2021.docx", "A 11781-2021")</f>
        <v/>
      </c>
    </row>
    <row r="123" ht="15" customHeight="1">
      <c r="A123" t="inlineStr">
        <is>
          <t>A 11767-2021</t>
        </is>
      </c>
      <c r="B123" s="1" t="n">
        <v>44265</v>
      </c>
      <c r="C123" s="1" t="n">
        <v>45202</v>
      </c>
      <c r="D123" t="inlineStr">
        <is>
          <t>JÄMTLANDS LÄN</t>
        </is>
      </c>
      <c r="E123" t="inlineStr">
        <is>
          <t>ÅRE</t>
        </is>
      </c>
      <c r="G123" t="n">
        <v>15.4</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11767-2021.xlsx", "A 11767-2021")</f>
        <v/>
      </c>
      <c r="T123">
        <f>HYPERLINK("https://klasma.github.io/Logging_ARE/kartor/A 11767-2021.png", "A 11767-2021")</f>
        <v/>
      </c>
      <c r="V123">
        <f>HYPERLINK("https://klasma.github.io/Logging_ARE/klagomål/A 11767-2021.docx", "A 11767-2021")</f>
        <v/>
      </c>
      <c r="W123">
        <f>HYPERLINK("https://klasma.github.io/Logging_ARE/klagomålsmail/A 11767-2021.docx", "A 11767-2021")</f>
        <v/>
      </c>
      <c r="X123">
        <f>HYPERLINK("https://klasma.github.io/Logging_ARE/tillsyn/A 11767-2021.docx", "A 11767-2021")</f>
        <v/>
      </c>
      <c r="Y123">
        <f>HYPERLINK("https://klasma.github.io/Logging_ARE/tillsynsmail/A 11767-2021.docx", "A 11767-2021")</f>
        <v/>
      </c>
    </row>
    <row r="124" ht="15" customHeight="1">
      <c r="A124" t="inlineStr">
        <is>
          <t>A 12970-2021</t>
        </is>
      </c>
      <c r="B124" s="1" t="n">
        <v>44271</v>
      </c>
      <c r="C124" s="1" t="n">
        <v>45202</v>
      </c>
      <c r="D124" t="inlineStr">
        <is>
          <t>JÄMTLANDS LÄN</t>
        </is>
      </c>
      <c r="E124" t="inlineStr">
        <is>
          <t>ÅRE</t>
        </is>
      </c>
      <c r="G124" t="n">
        <v>20.5</v>
      </c>
      <c r="H124" t="n">
        <v>1</v>
      </c>
      <c r="I124" t="n">
        <v>1</v>
      </c>
      <c r="J124" t="n">
        <v>0</v>
      </c>
      <c r="K124" t="n">
        <v>0</v>
      </c>
      <c r="L124" t="n">
        <v>0</v>
      </c>
      <c r="M124" t="n">
        <v>0</v>
      </c>
      <c r="N124" t="n">
        <v>0</v>
      </c>
      <c r="O124" t="n">
        <v>0</v>
      </c>
      <c r="P124" t="n">
        <v>0</v>
      </c>
      <c r="Q124" t="n">
        <v>1</v>
      </c>
      <c r="R124" s="2" t="inlineStr">
        <is>
          <t>Spindelblomster</t>
        </is>
      </c>
      <c r="S124">
        <f>HYPERLINK("https://klasma.github.io/Logging_ARE/artfynd/A 12970-2021.xlsx", "A 12970-2021")</f>
        <v/>
      </c>
      <c r="T124">
        <f>HYPERLINK("https://klasma.github.io/Logging_ARE/kartor/A 12970-2021.png", "A 12970-2021")</f>
        <v/>
      </c>
      <c r="V124">
        <f>HYPERLINK("https://klasma.github.io/Logging_ARE/klagomål/A 12970-2021.docx", "A 12970-2021")</f>
        <v/>
      </c>
      <c r="W124">
        <f>HYPERLINK("https://klasma.github.io/Logging_ARE/klagomålsmail/A 12970-2021.docx", "A 12970-2021")</f>
        <v/>
      </c>
      <c r="X124">
        <f>HYPERLINK("https://klasma.github.io/Logging_ARE/tillsyn/A 12970-2021.docx", "A 12970-2021")</f>
        <v/>
      </c>
      <c r="Y124">
        <f>HYPERLINK("https://klasma.github.io/Logging_ARE/tillsynsmail/A 12970-2021.docx", "A 12970-2021")</f>
        <v/>
      </c>
    </row>
    <row r="125" ht="15" customHeight="1">
      <c r="A125" t="inlineStr">
        <is>
          <t>A 18543-2021</t>
        </is>
      </c>
      <c r="B125" s="1" t="n">
        <v>44306</v>
      </c>
      <c r="C125" s="1" t="n">
        <v>45202</v>
      </c>
      <c r="D125" t="inlineStr">
        <is>
          <t>JÄMTLANDS LÄN</t>
        </is>
      </c>
      <c r="E125" t="inlineStr">
        <is>
          <t>ÅRE</t>
        </is>
      </c>
      <c r="G125" t="n">
        <v>1.7</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18543-2021.xlsx", "A 18543-2021")</f>
        <v/>
      </c>
      <c r="T125">
        <f>HYPERLINK("https://klasma.github.io/Logging_ARE/kartor/A 18543-2021.png", "A 18543-2021")</f>
        <v/>
      </c>
      <c r="V125">
        <f>HYPERLINK("https://klasma.github.io/Logging_ARE/klagomål/A 18543-2021.docx", "A 18543-2021")</f>
        <v/>
      </c>
      <c r="W125">
        <f>HYPERLINK("https://klasma.github.io/Logging_ARE/klagomålsmail/A 18543-2021.docx", "A 18543-2021")</f>
        <v/>
      </c>
      <c r="X125">
        <f>HYPERLINK("https://klasma.github.io/Logging_ARE/tillsyn/A 18543-2021.docx", "A 18543-2021")</f>
        <v/>
      </c>
      <c r="Y125">
        <f>HYPERLINK("https://klasma.github.io/Logging_ARE/tillsynsmail/A 18543-2021.docx", "A 18543-2021")</f>
        <v/>
      </c>
    </row>
    <row r="126" ht="15" customHeight="1">
      <c r="A126" t="inlineStr">
        <is>
          <t>A 23556-2021</t>
        </is>
      </c>
      <c r="B126" s="1" t="n">
        <v>44334</v>
      </c>
      <c r="C126" s="1" t="n">
        <v>45202</v>
      </c>
      <c r="D126" t="inlineStr">
        <is>
          <t>JÄMTLANDS LÄN</t>
        </is>
      </c>
      <c r="E126" t="inlineStr">
        <is>
          <t>ÅRE</t>
        </is>
      </c>
      <c r="G126" t="n">
        <v>11.1</v>
      </c>
      <c r="H126" t="n">
        <v>1</v>
      </c>
      <c r="I126" t="n">
        <v>1</v>
      </c>
      <c r="J126" t="n">
        <v>0</v>
      </c>
      <c r="K126" t="n">
        <v>0</v>
      </c>
      <c r="L126" t="n">
        <v>0</v>
      </c>
      <c r="M126" t="n">
        <v>0</v>
      </c>
      <c r="N126" t="n">
        <v>0</v>
      </c>
      <c r="O126" t="n">
        <v>0</v>
      </c>
      <c r="P126" t="n">
        <v>0</v>
      </c>
      <c r="Q126" t="n">
        <v>1</v>
      </c>
      <c r="R126" s="2" t="inlineStr">
        <is>
          <t>Tvåblad</t>
        </is>
      </c>
      <c r="S126">
        <f>HYPERLINK("https://klasma.github.io/Logging_ARE/artfynd/A 23556-2021.xlsx", "A 23556-2021")</f>
        <v/>
      </c>
      <c r="T126">
        <f>HYPERLINK("https://klasma.github.io/Logging_ARE/kartor/A 23556-2021.png", "A 23556-2021")</f>
        <v/>
      </c>
      <c r="V126">
        <f>HYPERLINK("https://klasma.github.io/Logging_ARE/klagomål/A 23556-2021.docx", "A 23556-2021")</f>
        <v/>
      </c>
      <c r="W126">
        <f>HYPERLINK("https://klasma.github.io/Logging_ARE/klagomålsmail/A 23556-2021.docx", "A 23556-2021")</f>
        <v/>
      </c>
      <c r="X126">
        <f>HYPERLINK("https://klasma.github.io/Logging_ARE/tillsyn/A 23556-2021.docx", "A 23556-2021")</f>
        <v/>
      </c>
      <c r="Y126">
        <f>HYPERLINK("https://klasma.github.io/Logging_ARE/tillsynsmail/A 23556-2021.docx", "A 23556-2021")</f>
        <v/>
      </c>
    </row>
    <row r="127" ht="15" customHeight="1">
      <c r="A127" t="inlineStr">
        <is>
          <t>A 37082-2021</t>
        </is>
      </c>
      <c r="B127" s="1" t="n">
        <v>44395</v>
      </c>
      <c r="C127" s="1" t="n">
        <v>45202</v>
      </c>
      <c r="D127" t="inlineStr">
        <is>
          <t>JÄMTLANDS LÄN</t>
        </is>
      </c>
      <c r="E127" t="inlineStr">
        <is>
          <t>ÅRE</t>
        </is>
      </c>
      <c r="G127" t="n">
        <v>14.6</v>
      </c>
      <c r="H127" t="n">
        <v>1</v>
      </c>
      <c r="I127" t="n">
        <v>0</v>
      </c>
      <c r="J127" t="n">
        <v>1</v>
      </c>
      <c r="K127" t="n">
        <v>0</v>
      </c>
      <c r="L127" t="n">
        <v>0</v>
      </c>
      <c r="M127" t="n">
        <v>0</v>
      </c>
      <c r="N127" t="n">
        <v>0</v>
      </c>
      <c r="O127" t="n">
        <v>1</v>
      </c>
      <c r="P127" t="n">
        <v>0</v>
      </c>
      <c r="Q127" t="n">
        <v>1</v>
      </c>
      <c r="R127" s="2" t="inlineStr">
        <is>
          <t>Tretåig hackspett</t>
        </is>
      </c>
      <c r="S127">
        <f>HYPERLINK("https://klasma.github.io/Logging_ARE/artfynd/A 37082-2021.xlsx", "A 37082-2021")</f>
        <v/>
      </c>
      <c r="T127">
        <f>HYPERLINK("https://klasma.github.io/Logging_ARE/kartor/A 37082-2021.png", "A 37082-2021")</f>
        <v/>
      </c>
      <c r="V127">
        <f>HYPERLINK("https://klasma.github.io/Logging_ARE/klagomål/A 37082-2021.docx", "A 37082-2021")</f>
        <v/>
      </c>
      <c r="W127">
        <f>HYPERLINK("https://klasma.github.io/Logging_ARE/klagomålsmail/A 37082-2021.docx", "A 37082-2021")</f>
        <v/>
      </c>
      <c r="X127">
        <f>HYPERLINK("https://klasma.github.io/Logging_ARE/tillsyn/A 37082-2021.docx", "A 37082-2021")</f>
        <v/>
      </c>
      <c r="Y127">
        <f>HYPERLINK("https://klasma.github.io/Logging_ARE/tillsynsmail/A 37082-2021.docx", "A 37082-2021")</f>
        <v/>
      </c>
    </row>
    <row r="128" ht="15" customHeight="1">
      <c r="A128" t="inlineStr">
        <is>
          <t>A 56193-2021</t>
        </is>
      </c>
      <c r="B128" s="1" t="n">
        <v>44477</v>
      </c>
      <c r="C128" s="1" t="n">
        <v>45202</v>
      </c>
      <c r="D128" t="inlineStr">
        <is>
          <t>JÄMTLANDS LÄN</t>
        </is>
      </c>
      <c r="E128" t="inlineStr">
        <is>
          <t>ÅRE</t>
        </is>
      </c>
      <c r="F128" t="inlineStr">
        <is>
          <t>Övriga Aktiebolag</t>
        </is>
      </c>
      <c r="G128" t="n">
        <v>15.5</v>
      </c>
      <c r="H128" t="n">
        <v>1</v>
      </c>
      <c r="I128" t="n">
        <v>0</v>
      </c>
      <c r="J128" t="n">
        <v>1</v>
      </c>
      <c r="K128" t="n">
        <v>0</v>
      </c>
      <c r="L128" t="n">
        <v>0</v>
      </c>
      <c r="M128" t="n">
        <v>0</v>
      </c>
      <c r="N128" t="n">
        <v>0</v>
      </c>
      <c r="O128" t="n">
        <v>1</v>
      </c>
      <c r="P128" t="n">
        <v>0</v>
      </c>
      <c r="Q128" t="n">
        <v>1</v>
      </c>
      <c r="R128" s="2" t="inlineStr">
        <is>
          <t>Tretåig hackspett</t>
        </is>
      </c>
      <c r="S128">
        <f>HYPERLINK("https://klasma.github.io/Logging_ARE/artfynd/A 56193-2021.xlsx", "A 56193-2021")</f>
        <v/>
      </c>
      <c r="T128">
        <f>HYPERLINK("https://klasma.github.io/Logging_ARE/kartor/A 56193-2021.png", "A 56193-2021")</f>
        <v/>
      </c>
      <c r="V128">
        <f>HYPERLINK("https://klasma.github.io/Logging_ARE/klagomål/A 56193-2021.docx", "A 56193-2021")</f>
        <v/>
      </c>
      <c r="W128">
        <f>HYPERLINK("https://klasma.github.io/Logging_ARE/klagomålsmail/A 56193-2021.docx", "A 56193-2021")</f>
        <v/>
      </c>
      <c r="X128">
        <f>HYPERLINK("https://klasma.github.io/Logging_ARE/tillsyn/A 56193-2021.docx", "A 56193-2021")</f>
        <v/>
      </c>
      <c r="Y128">
        <f>HYPERLINK("https://klasma.github.io/Logging_ARE/tillsynsmail/A 56193-2021.docx", "A 56193-2021")</f>
        <v/>
      </c>
    </row>
    <row r="129" ht="15" customHeight="1">
      <c r="A129" t="inlineStr">
        <is>
          <t>A 58239-2021</t>
        </is>
      </c>
      <c r="B129" s="1" t="n">
        <v>44487</v>
      </c>
      <c r="C129" s="1" t="n">
        <v>45202</v>
      </c>
      <c r="D129" t="inlineStr">
        <is>
          <t>JÄMTLANDS LÄN</t>
        </is>
      </c>
      <c r="E129" t="inlineStr">
        <is>
          <t>ÅRE</t>
        </is>
      </c>
      <c r="G129" t="n">
        <v>25</v>
      </c>
      <c r="H129" t="n">
        <v>0</v>
      </c>
      <c r="I129" t="n">
        <v>0</v>
      </c>
      <c r="J129" t="n">
        <v>0</v>
      </c>
      <c r="K129" t="n">
        <v>1</v>
      </c>
      <c r="L129" t="n">
        <v>0</v>
      </c>
      <c r="M129" t="n">
        <v>0</v>
      </c>
      <c r="N129" t="n">
        <v>0</v>
      </c>
      <c r="O129" t="n">
        <v>1</v>
      </c>
      <c r="P129" t="n">
        <v>1</v>
      </c>
      <c r="Q129" t="n">
        <v>1</v>
      </c>
      <c r="R129" s="2" t="inlineStr">
        <is>
          <t>Rynkskinn</t>
        </is>
      </c>
      <c r="S129">
        <f>HYPERLINK("https://klasma.github.io/Logging_ARE/artfynd/A 58239-2021.xlsx", "A 58239-2021")</f>
        <v/>
      </c>
      <c r="T129">
        <f>HYPERLINK("https://klasma.github.io/Logging_ARE/kartor/A 58239-2021.png", "A 58239-2021")</f>
        <v/>
      </c>
      <c r="V129">
        <f>HYPERLINK("https://klasma.github.io/Logging_ARE/klagomål/A 58239-2021.docx", "A 58239-2021")</f>
        <v/>
      </c>
      <c r="W129">
        <f>HYPERLINK("https://klasma.github.io/Logging_ARE/klagomålsmail/A 58239-2021.docx", "A 58239-2021")</f>
        <v/>
      </c>
      <c r="X129">
        <f>HYPERLINK("https://klasma.github.io/Logging_ARE/tillsyn/A 58239-2021.docx", "A 58239-2021")</f>
        <v/>
      </c>
      <c r="Y129">
        <f>HYPERLINK("https://klasma.github.io/Logging_ARE/tillsynsmail/A 58239-2021.docx", "A 58239-2021")</f>
        <v/>
      </c>
    </row>
    <row r="130" ht="15" customHeight="1">
      <c r="A130" t="inlineStr">
        <is>
          <t>A 58117-2021</t>
        </is>
      </c>
      <c r="B130" s="1" t="n">
        <v>44487</v>
      </c>
      <c r="C130" s="1" t="n">
        <v>45202</v>
      </c>
      <c r="D130" t="inlineStr">
        <is>
          <t>JÄMTLANDS LÄN</t>
        </is>
      </c>
      <c r="E130" t="inlineStr">
        <is>
          <t>ÅRE</t>
        </is>
      </c>
      <c r="G130" t="n">
        <v>40.9</v>
      </c>
      <c r="H130" t="n">
        <v>0</v>
      </c>
      <c r="I130" t="n">
        <v>1</v>
      </c>
      <c r="J130" t="n">
        <v>0</v>
      </c>
      <c r="K130" t="n">
        <v>0</v>
      </c>
      <c r="L130" t="n">
        <v>0</v>
      </c>
      <c r="M130" t="n">
        <v>0</v>
      </c>
      <c r="N130" t="n">
        <v>0</v>
      </c>
      <c r="O130" t="n">
        <v>0</v>
      </c>
      <c r="P130" t="n">
        <v>0</v>
      </c>
      <c r="Q130" t="n">
        <v>1</v>
      </c>
      <c r="R130" s="2" t="inlineStr">
        <is>
          <t>Stuplav</t>
        </is>
      </c>
      <c r="S130">
        <f>HYPERLINK("https://klasma.github.io/Logging_ARE/artfynd/A 58117-2021.xlsx", "A 58117-2021")</f>
        <v/>
      </c>
      <c r="T130">
        <f>HYPERLINK("https://klasma.github.io/Logging_ARE/kartor/A 58117-2021.png", "A 58117-2021")</f>
        <v/>
      </c>
      <c r="V130">
        <f>HYPERLINK("https://klasma.github.io/Logging_ARE/klagomål/A 58117-2021.docx", "A 58117-2021")</f>
        <v/>
      </c>
      <c r="W130">
        <f>HYPERLINK("https://klasma.github.io/Logging_ARE/klagomålsmail/A 58117-2021.docx", "A 58117-2021")</f>
        <v/>
      </c>
      <c r="X130">
        <f>HYPERLINK("https://klasma.github.io/Logging_ARE/tillsyn/A 58117-2021.docx", "A 58117-2021")</f>
        <v/>
      </c>
      <c r="Y130">
        <f>HYPERLINK("https://klasma.github.io/Logging_ARE/tillsynsmail/A 58117-2021.docx", "A 58117-2021")</f>
        <v/>
      </c>
    </row>
    <row r="131" ht="15" customHeight="1">
      <c r="A131" t="inlineStr">
        <is>
          <t>A 58226-2021</t>
        </is>
      </c>
      <c r="B131" s="1" t="n">
        <v>44487</v>
      </c>
      <c r="C131" s="1" t="n">
        <v>45202</v>
      </c>
      <c r="D131" t="inlineStr">
        <is>
          <t>JÄMTLANDS LÄN</t>
        </is>
      </c>
      <c r="E131" t="inlineStr">
        <is>
          <t>ÅRE</t>
        </is>
      </c>
      <c r="G131" t="n">
        <v>62.3</v>
      </c>
      <c r="H131" t="n">
        <v>0</v>
      </c>
      <c r="I131" t="n">
        <v>1</v>
      </c>
      <c r="J131" t="n">
        <v>0</v>
      </c>
      <c r="K131" t="n">
        <v>0</v>
      </c>
      <c r="L131" t="n">
        <v>0</v>
      </c>
      <c r="M131" t="n">
        <v>0</v>
      </c>
      <c r="N131" t="n">
        <v>0</v>
      </c>
      <c r="O131" t="n">
        <v>0</v>
      </c>
      <c r="P131" t="n">
        <v>0</v>
      </c>
      <c r="Q131" t="n">
        <v>1</v>
      </c>
      <c r="R131" s="2" t="inlineStr">
        <is>
          <t>Kambräken</t>
        </is>
      </c>
      <c r="S131">
        <f>HYPERLINK("https://klasma.github.io/Logging_ARE/artfynd/A 58226-2021.xlsx", "A 58226-2021")</f>
        <v/>
      </c>
      <c r="T131">
        <f>HYPERLINK("https://klasma.github.io/Logging_ARE/kartor/A 58226-2021.png", "A 58226-2021")</f>
        <v/>
      </c>
      <c r="V131">
        <f>HYPERLINK("https://klasma.github.io/Logging_ARE/klagomål/A 58226-2021.docx", "A 58226-2021")</f>
        <v/>
      </c>
      <c r="W131">
        <f>HYPERLINK("https://klasma.github.io/Logging_ARE/klagomålsmail/A 58226-2021.docx", "A 58226-2021")</f>
        <v/>
      </c>
      <c r="X131">
        <f>HYPERLINK("https://klasma.github.io/Logging_ARE/tillsyn/A 58226-2021.docx", "A 58226-2021")</f>
        <v/>
      </c>
      <c r="Y131">
        <f>HYPERLINK("https://klasma.github.io/Logging_ARE/tillsynsmail/A 58226-2021.docx", "A 58226-2021")</f>
        <v/>
      </c>
    </row>
    <row r="132" ht="15" customHeight="1">
      <c r="A132" t="inlineStr">
        <is>
          <t>A 62188-2021</t>
        </is>
      </c>
      <c r="B132" s="1" t="n">
        <v>44502</v>
      </c>
      <c r="C132" s="1" t="n">
        <v>45202</v>
      </c>
      <c r="D132" t="inlineStr">
        <is>
          <t>JÄMTLANDS LÄN</t>
        </is>
      </c>
      <c r="E132" t="inlineStr">
        <is>
          <t>ÅRE</t>
        </is>
      </c>
      <c r="G132" t="n">
        <v>2.5</v>
      </c>
      <c r="H132" t="n">
        <v>0</v>
      </c>
      <c r="I132" t="n">
        <v>1</v>
      </c>
      <c r="J132" t="n">
        <v>0</v>
      </c>
      <c r="K132" t="n">
        <v>0</v>
      </c>
      <c r="L132" t="n">
        <v>0</v>
      </c>
      <c r="M132" t="n">
        <v>0</v>
      </c>
      <c r="N132" t="n">
        <v>0</v>
      </c>
      <c r="O132" t="n">
        <v>0</v>
      </c>
      <c r="P132" t="n">
        <v>0</v>
      </c>
      <c r="Q132" t="n">
        <v>1</v>
      </c>
      <c r="R132" s="2" t="inlineStr">
        <is>
          <t>Svart trolldruva</t>
        </is>
      </c>
      <c r="S132">
        <f>HYPERLINK("https://klasma.github.io/Logging_ARE/artfynd/A 62188-2021.xlsx", "A 62188-2021")</f>
        <v/>
      </c>
      <c r="T132">
        <f>HYPERLINK("https://klasma.github.io/Logging_ARE/kartor/A 62188-2021.png", "A 62188-2021")</f>
        <v/>
      </c>
      <c r="V132">
        <f>HYPERLINK("https://klasma.github.io/Logging_ARE/klagomål/A 62188-2021.docx", "A 62188-2021")</f>
        <v/>
      </c>
      <c r="W132">
        <f>HYPERLINK("https://klasma.github.io/Logging_ARE/klagomålsmail/A 62188-2021.docx", "A 62188-2021")</f>
        <v/>
      </c>
      <c r="X132">
        <f>HYPERLINK("https://klasma.github.io/Logging_ARE/tillsyn/A 62188-2021.docx", "A 62188-2021")</f>
        <v/>
      </c>
      <c r="Y132">
        <f>HYPERLINK("https://klasma.github.io/Logging_ARE/tillsynsmail/A 62188-2021.docx", "A 62188-2021")</f>
        <v/>
      </c>
    </row>
    <row r="133" ht="15" customHeight="1">
      <c r="A133" t="inlineStr">
        <is>
          <t>A 63975-2021</t>
        </is>
      </c>
      <c r="B133" s="1" t="n">
        <v>44509</v>
      </c>
      <c r="C133" s="1" t="n">
        <v>45202</v>
      </c>
      <c r="D133" t="inlineStr">
        <is>
          <t>JÄMTLANDS LÄN</t>
        </is>
      </c>
      <c r="E133" t="inlineStr">
        <is>
          <t>ÅRE</t>
        </is>
      </c>
      <c r="G133" t="n">
        <v>2.4</v>
      </c>
      <c r="H133" t="n">
        <v>0</v>
      </c>
      <c r="I133" t="n">
        <v>1</v>
      </c>
      <c r="J133" t="n">
        <v>0</v>
      </c>
      <c r="K133" t="n">
        <v>0</v>
      </c>
      <c r="L133" t="n">
        <v>0</v>
      </c>
      <c r="M133" t="n">
        <v>0</v>
      </c>
      <c r="N133" t="n">
        <v>0</v>
      </c>
      <c r="O133" t="n">
        <v>0</v>
      </c>
      <c r="P133" t="n">
        <v>0</v>
      </c>
      <c r="Q133" t="n">
        <v>1</v>
      </c>
      <c r="R133" s="2" t="inlineStr">
        <is>
          <t>Svart trolldruva</t>
        </is>
      </c>
      <c r="S133">
        <f>HYPERLINK("https://klasma.github.io/Logging_ARE/artfynd/A 63975-2021.xlsx", "A 63975-2021")</f>
        <v/>
      </c>
      <c r="T133">
        <f>HYPERLINK("https://klasma.github.io/Logging_ARE/kartor/A 63975-2021.png", "A 63975-2021")</f>
        <v/>
      </c>
      <c r="V133">
        <f>HYPERLINK("https://klasma.github.io/Logging_ARE/klagomål/A 63975-2021.docx", "A 63975-2021")</f>
        <v/>
      </c>
      <c r="W133">
        <f>HYPERLINK("https://klasma.github.io/Logging_ARE/klagomålsmail/A 63975-2021.docx", "A 63975-2021")</f>
        <v/>
      </c>
      <c r="X133">
        <f>HYPERLINK("https://klasma.github.io/Logging_ARE/tillsyn/A 63975-2021.docx", "A 63975-2021")</f>
        <v/>
      </c>
      <c r="Y133">
        <f>HYPERLINK("https://klasma.github.io/Logging_ARE/tillsynsmail/A 63975-2021.docx", "A 63975-2021")</f>
        <v/>
      </c>
    </row>
    <row r="134" ht="15" customHeight="1">
      <c r="A134" t="inlineStr">
        <is>
          <t>A 74392-2021</t>
        </is>
      </c>
      <c r="B134" s="1" t="n">
        <v>44559</v>
      </c>
      <c r="C134" s="1" t="n">
        <v>45202</v>
      </c>
      <c r="D134" t="inlineStr">
        <is>
          <t>JÄMTLANDS LÄN</t>
        </is>
      </c>
      <c r="E134" t="inlineStr">
        <is>
          <t>ÅRE</t>
        </is>
      </c>
      <c r="G134" t="n">
        <v>11.6</v>
      </c>
      <c r="H134" t="n">
        <v>0</v>
      </c>
      <c r="I134" t="n">
        <v>0</v>
      </c>
      <c r="J134" t="n">
        <v>1</v>
      </c>
      <c r="K134" t="n">
        <v>0</v>
      </c>
      <c r="L134" t="n">
        <v>0</v>
      </c>
      <c r="M134" t="n">
        <v>0</v>
      </c>
      <c r="N134" t="n">
        <v>0</v>
      </c>
      <c r="O134" t="n">
        <v>1</v>
      </c>
      <c r="P134" t="n">
        <v>0</v>
      </c>
      <c r="Q134" t="n">
        <v>1</v>
      </c>
      <c r="R134" s="2" t="inlineStr">
        <is>
          <t>Skrovellav</t>
        </is>
      </c>
      <c r="S134">
        <f>HYPERLINK("https://klasma.github.io/Logging_ARE/artfynd/A 74392-2021.xlsx", "A 74392-2021")</f>
        <v/>
      </c>
      <c r="T134">
        <f>HYPERLINK("https://klasma.github.io/Logging_ARE/kartor/A 74392-2021.png", "A 74392-2021")</f>
        <v/>
      </c>
      <c r="V134">
        <f>HYPERLINK("https://klasma.github.io/Logging_ARE/klagomål/A 74392-2021.docx", "A 74392-2021")</f>
        <v/>
      </c>
      <c r="W134">
        <f>HYPERLINK("https://klasma.github.io/Logging_ARE/klagomålsmail/A 74392-2021.docx", "A 74392-2021")</f>
        <v/>
      </c>
      <c r="X134">
        <f>HYPERLINK("https://klasma.github.io/Logging_ARE/tillsyn/A 74392-2021.docx", "A 74392-2021")</f>
        <v/>
      </c>
      <c r="Y134">
        <f>HYPERLINK("https://klasma.github.io/Logging_ARE/tillsynsmail/A 74392-2021.docx", "A 74392-2021")</f>
        <v/>
      </c>
    </row>
    <row r="135" ht="15" customHeight="1">
      <c r="A135" t="inlineStr">
        <is>
          <t>A 12242-2022</t>
        </is>
      </c>
      <c r="B135" s="1" t="n">
        <v>44637</v>
      </c>
      <c r="C135" s="1" t="n">
        <v>45202</v>
      </c>
      <c r="D135" t="inlineStr">
        <is>
          <t>JÄMTLANDS LÄN</t>
        </is>
      </c>
      <c r="E135" t="inlineStr">
        <is>
          <t>ÅRE</t>
        </is>
      </c>
      <c r="G135" t="n">
        <v>53.4</v>
      </c>
      <c r="H135" t="n">
        <v>0</v>
      </c>
      <c r="I135" t="n">
        <v>0</v>
      </c>
      <c r="J135" t="n">
        <v>1</v>
      </c>
      <c r="K135" t="n">
        <v>0</v>
      </c>
      <c r="L135" t="n">
        <v>0</v>
      </c>
      <c r="M135" t="n">
        <v>0</v>
      </c>
      <c r="N135" t="n">
        <v>0</v>
      </c>
      <c r="O135" t="n">
        <v>1</v>
      </c>
      <c r="P135" t="n">
        <v>0</v>
      </c>
      <c r="Q135" t="n">
        <v>1</v>
      </c>
      <c r="R135" s="2" t="inlineStr">
        <is>
          <t>Granticka</t>
        </is>
      </c>
      <c r="S135">
        <f>HYPERLINK("https://klasma.github.io/Logging_ARE/artfynd/A 12242-2022.xlsx", "A 12242-2022")</f>
        <v/>
      </c>
      <c r="T135">
        <f>HYPERLINK("https://klasma.github.io/Logging_ARE/kartor/A 12242-2022.png", "A 12242-2022")</f>
        <v/>
      </c>
      <c r="V135">
        <f>HYPERLINK("https://klasma.github.io/Logging_ARE/klagomål/A 12242-2022.docx", "A 12242-2022")</f>
        <v/>
      </c>
      <c r="W135">
        <f>HYPERLINK("https://klasma.github.io/Logging_ARE/klagomålsmail/A 12242-2022.docx", "A 12242-2022")</f>
        <v/>
      </c>
      <c r="X135">
        <f>HYPERLINK("https://klasma.github.io/Logging_ARE/tillsyn/A 12242-2022.docx", "A 12242-2022")</f>
        <v/>
      </c>
      <c r="Y135">
        <f>HYPERLINK("https://klasma.github.io/Logging_ARE/tillsynsmail/A 12242-2022.docx", "A 12242-2022")</f>
        <v/>
      </c>
    </row>
    <row r="136" ht="15" customHeight="1">
      <c r="A136" t="inlineStr">
        <is>
          <t>A 17692-2022</t>
        </is>
      </c>
      <c r="B136" s="1" t="n">
        <v>44680</v>
      </c>
      <c r="C136" s="1" t="n">
        <v>45202</v>
      </c>
      <c r="D136" t="inlineStr">
        <is>
          <t>JÄMTLANDS LÄN</t>
        </is>
      </c>
      <c r="E136" t="inlineStr">
        <is>
          <t>ÅRE</t>
        </is>
      </c>
      <c r="G136" t="n">
        <v>3.1</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17692-2022.xlsx", "A 17692-2022")</f>
        <v/>
      </c>
      <c r="T136">
        <f>HYPERLINK("https://klasma.github.io/Logging_ARE/kartor/A 17692-2022.png", "A 17692-2022")</f>
        <v/>
      </c>
      <c r="V136">
        <f>HYPERLINK("https://klasma.github.io/Logging_ARE/klagomål/A 17692-2022.docx", "A 17692-2022")</f>
        <v/>
      </c>
      <c r="W136">
        <f>HYPERLINK("https://klasma.github.io/Logging_ARE/klagomålsmail/A 17692-2022.docx", "A 17692-2022")</f>
        <v/>
      </c>
      <c r="X136">
        <f>HYPERLINK("https://klasma.github.io/Logging_ARE/tillsyn/A 17692-2022.docx", "A 17692-2022")</f>
        <v/>
      </c>
      <c r="Y136">
        <f>HYPERLINK("https://klasma.github.io/Logging_ARE/tillsynsmail/A 17692-2022.docx", "A 17692-2022")</f>
        <v/>
      </c>
    </row>
    <row r="137" ht="15" customHeight="1">
      <c r="A137" t="inlineStr">
        <is>
          <t>A 18851-2022</t>
        </is>
      </c>
      <c r="B137" s="1" t="n">
        <v>44690</v>
      </c>
      <c r="C137" s="1" t="n">
        <v>45202</v>
      </c>
      <c r="D137" t="inlineStr">
        <is>
          <t>JÄMTLANDS LÄN</t>
        </is>
      </c>
      <c r="E137" t="inlineStr">
        <is>
          <t>ÅRE</t>
        </is>
      </c>
      <c r="G137" t="n">
        <v>10.4</v>
      </c>
      <c r="H137" t="n">
        <v>0</v>
      </c>
      <c r="I137" t="n">
        <v>0</v>
      </c>
      <c r="J137" t="n">
        <v>1</v>
      </c>
      <c r="K137" t="n">
        <v>0</v>
      </c>
      <c r="L137" t="n">
        <v>0</v>
      </c>
      <c r="M137" t="n">
        <v>0</v>
      </c>
      <c r="N137" t="n">
        <v>0</v>
      </c>
      <c r="O137" t="n">
        <v>1</v>
      </c>
      <c r="P137" t="n">
        <v>0</v>
      </c>
      <c r="Q137" t="n">
        <v>1</v>
      </c>
      <c r="R137" s="2" t="inlineStr">
        <is>
          <t>Garnlav</t>
        </is>
      </c>
      <c r="S137">
        <f>HYPERLINK("https://klasma.github.io/Logging_ARE/artfynd/A 18851-2022.xlsx", "A 18851-2022")</f>
        <v/>
      </c>
      <c r="T137">
        <f>HYPERLINK("https://klasma.github.io/Logging_ARE/kartor/A 18851-2022.png", "A 18851-2022")</f>
        <v/>
      </c>
      <c r="V137">
        <f>HYPERLINK("https://klasma.github.io/Logging_ARE/klagomål/A 18851-2022.docx", "A 18851-2022")</f>
        <v/>
      </c>
      <c r="W137">
        <f>HYPERLINK("https://klasma.github.io/Logging_ARE/klagomålsmail/A 18851-2022.docx", "A 18851-2022")</f>
        <v/>
      </c>
      <c r="X137">
        <f>HYPERLINK("https://klasma.github.io/Logging_ARE/tillsyn/A 18851-2022.docx", "A 18851-2022")</f>
        <v/>
      </c>
      <c r="Y137">
        <f>HYPERLINK("https://klasma.github.io/Logging_ARE/tillsynsmail/A 18851-2022.docx", "A 18851-2022")</f>
        <v/>
      </c>
    </row>
    <row r="138" ht="15" customHeight="1">
      <c r="A138" t="inlineStr">
        <is>
          <t>A 32216-2022</t>
        </is>
      </c>
      <c r="B138" s="1" t="n">
        <v>44781</v>
      </c>
      <c r="C138" s="1" t="n">
        <v>45202</v>
      </c>
      <c r="D138" t="inlineStr">
        <is>
          <t>JÄMTLANDS LÄN</t>
        </is>
      </c>
      <c r="E138" t="inlineStr">
        <is>
          <t>ÅRE</t>
        </is>
      </c>
      <c r="G138" t="n">
        <v>27.3</v>
      </c>
      <c r="H138" t="n">
        <v>1</v>
      </c>
      <c r="I138" t="n">
        <v>0</v>
      </c>
      <c r="J138" t="n">
        <v>1</v>
      </c>
      <c r="K138" t="n">
        <v>0</v>
      </c>
      <c r="L138" t="n">
        <v>0</v>
      </c>
      <c r="M138" t="n">
        <v>0</v>
      </c>
      <c r="N138" t="n">
        <v>0</v>
      </c>
      <c r="O138" t="n">
        <v>1</v>
      </c>
      <c r="P138" t="n">
        <v>0</v>
      </c>
      <c r="Q138" t="n">
        <v>1</v>
      </c>
      <c r="R138" s="2" t="inlineStr">
        <is>
          <t>Tretåig hackspett</t>
        </is>
      </c>
      <c r="S138">
        <f>HYPERLINK("https://klasma.github.io/Logging_ARE/artfynd/A 32216-2022.xlsx", "A 32216-2022")</f>
        <v/>
      </c>
      <c r="T138">
        <f>HYPERLINK("https://klasma.github.io/Logging_ARE/kartor/A 32216-2022.png", "A 32216-2022")</f>
        <v/>
      </c>
      <c r="V138">
        <f>HYPERLINK("https://klasma.github.io/Logging_ARE/klagomål/A 32216-2022.docx", "A 32216-2022")</f>
        <v/>
      </c>
      <c r="W138">
        <f>HYPERLINK("https://klasma.github.io/Logging_ARE/klagomålsmail/A 32216-2022.docx", "A 32216-2022")</f>
        <v/>
      </c>
      <c r="X138">
        <f>HYPERLINK("https://klasma.github.io/Logging_ARE/tillsyn/A 32216-2022.docx", "A 32216-2022")</f>
        <v/>
      </c>
      <c r="Y138">
        <f>HYPERLINK("https://klasma.github.io/Logging_ARE/tillsynsmail/A 32216-2022.docx", "A 32216-2022")</f>
        <v/>
      </c>
    </row>
    <row r="139" ht="15" customHeight="1">
      <c r="A139" t="inlineStr">
        <is>
          <t>A 55805-2022</t>
        </is>
      </c>
      <c r="B139" s="1" t="n">
        <v>44888</v>
      </c>
      <c r="C139" s="1" t="n">
        <v>45202</v>
      </c>
      <c r="D139" t="inlineStr">
        <is>
          <t>JÄMTLANDS LÄN</t>
        </is>
      </c>
      <c r="E139" t="inlineStr">
        <is>
          <t>ÅRE</t>
        </is>
      </c>
      <c r="F139" t="inlineStr">
        <is>
          <t>Övriga Aktiebolag</t>
        </is>
      </c>
      <c r="G139" t="n">
        <v>17.7</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55805-2022.xlsx", "A 55805-2022")</f>
        <v/>
      </c>
      <c r="T139">
        <f>HYPERLINK("https://klasma.github.io/Logging_ARE/kartor/A 55805-2022.png", "A 55805-2022")</f>
        <v/>
      </c>
      <c r="V139">
        <f>HYPERLINK("https://klasma.github.io/Logging_ARE/klagomål/A 55805-2022.docx", "A 55805-2022")</f>
        <v/>
      </c>
      <c r="W139">
        <f>HYPERLINK("https://klasma.github.io/Logging_ARE/klagomålsmail/A 55805-2022.docx", "A 55805-2022")</f>
        <v/>
      </c>
      <c r="X139">
        <f>HYPERLINK("https://klasma.github.io/Logging_ARE/tillsyn/A 55805-2022.docx", "A 55805-2022")</f>
        <v/>
      </c>
      <c r="Y139">
        <f>HYPERLINK("https://klasma.github.io/Logging_ARE/tillsynsmail/A 55805-2022.docx", "A 55805-2022")</f>
        <v/>
      </c>
    </row>
    <row r="140" ht="15" customHeight="1">
      <c r="A140" t="inlineStr">
        <is>
          <t>A 56603-2022</t>
        </is>
      </c>
      <c r="B140" s="1" t="n">
        <v>44893</v>
      </c>
      <c r="C140" s="1" t="n">
        <v>45202</v>
      </c>
      <c r="D140" t="inlineStr">
        <is>
          <t>JÄMTLANDS LÄN</t>
        </is>
      </c>
      <c r="E140" t="inlineStr">
        <is>
          <t>ÅRE</t>
        </is>
      </c>
      <c r="F140" t="inlineStr">
        <is>
          <t>Övriga Aktiebolag</t>
        </is>
      </c>
      <c r="G140" t="n">
        <v>14.3</v>
      </c>
      <c r="H140" t="n">
        <v>1</v>
      </c>
      <c r="I140" t="n">
        <v>0</v>
      </c>
      <c r="J140" t="n">
        <v>1</v>
      </c>
      <c r="K140" t="n">
        <v>0</v>
      </c>
      <c r="L140" t="n">
        <v>0</v>
      </c>
      <c r="M140" t="n">
        <v>0</v>
      </c>
      <c r="N140" t="n">
        <v>0</v>
      </c>
      <c r="O140" t="n">
        <v>1</v>
      </c>
      <c r="P140" t="n">
        <v>0</v>
      </c>
      <c r="Q140" t="n">
        <v>1</v>
      </c>
      <c r="R140" s="2" t="inlineStr">
        <is>
          <t>Talltita</t>
        </is>
      </c>
      <c r="S140">
        <f>HYPERLINK("https://klasma.github.io/Logging_ARE/artfynd/A 56603-2022.xlsx", "A 56603-2022")</f>
        <v/>
      </c>
      <c r="T140">
        <f>HYPERLINK("https://klasma.github.io/Logging_ARE/kartor/A 56603-2022.png", "A 56603-2022")</f>
        <v/>
      </c>
      <c r="V140">
        <f>HYPERLINK("https://klasma.github.io/Logging_ARE/klagomål/A 56603-2022.docx", "A 56603-2022")</f>
        <v/>
      </c>
      <c r="W140">
        <f>HYPERLINK("https://klasma.github.io/Logging_ARE/klagomålsmail/A 56603-2022.docx", "A 56603-2022")</f>
        <v/>
      </c>
      <c r="X140">
        <f>HYPERLINK("https://klasma.github.io/Logging_ARE/tillsyn/A 56603-2022.docx", "A 56603-2022")</f>
        <v/>
      </c>
      <c r="Y140">
        <f>HYPERLINK("https://klasma.github.io/Logging_ARE/tillsynsmail/A 56603-2022.docx", "A 56603-2022")</f>
        <v/>
      </c>
    </row>
    <row r="141" ht="15" customHeight="1">
      <c r="A141" t="inlineStr">
        <is>
          <t>A 60544-2022</t>
        </is>
      </c>
      <c r="B141" s="1" t="n">
        <v>44904</v>
      </c>
      <c r="C141" s="1" t="n">
        <v>45202</v>
      </c>
      <c r="D141" t="inlineStr">
        <is>
          <t>JÄMTLANDS LÄN</t>
        </is>
      </c>
      <c r="E141" t="inlineStr">
        <is>
          <t>ÅRE</t>
        </is>
      </c>
      <c r="G141" t="n">
        <v>1.2</v>
      </c>
      <c r="H141" t="n">
        <v>1</v>
      </c>
      <c r="I141" t="n">
        <v>0</v>
      </c>
      <c r="J141" t="n">
        <v>1</v>
      </c>
      <c r="K141" t="n">
        <v>0</v>
      </c>
      <c r="L141" t="n">
        <v>0</v>
      </c>
      <c r="M141" t="n">
        <v>0</v>
      </c>
      <c r="N141" t="n">
        <v>0</v>
      </c>
      <c r="O141" t="n">
        <v>1</v>
      </c>
      <c r="P141" t="n">
        <v>0</v>
      </c>
      <c r="Q141" t="n">
        <v>1</v>
      </c>
      <c r="R141" s="2" t="inlineStr">
        <is>
          <t>Järpe</t>
        </is>
      </c>
      <c r="S141">
        <f>HYPERLINK("https://klasma.github.io/Logging_ARE/artfynd/A 60544-2022.xlsx", "A 60544-2022")</f>
        <v/>
      </c>
      <c r="T141">
        <f>HYPERLINK("https://klasma.github.io/Logging_ARE/kartor/A 60544-2022.png", "A 60544-2022")</f>
        <v/>
      </c>
      <c r="V141">
        <f>HYPERLINK("https://klasma.github.io/Logging_ARE/klagomål/A 60544-2022.docx", "A 60544-2022")</f>
        <v/>
      </c>
      <c r="W141">
        <f>HYPERLINK("https://klasma.github.io/Logging_ARE/klagomålsmail/A 60544-2022.docx", "A 60544-2022")</f>
        <v/>
      </c>
      <c r="X141">
        <f>HYPERLINK("https://klasma.github.io/Logging_ARE/tillsyn/A 60544-2022.docx", "A 60544-2022")</f>
        <v/>
      </c>
      <c r="Y141">
        <f>HYPERLINK("https://klasma.github.io/Logging_ARE/tillsynsmail/A 60544-2022.docx", "A 60544-2022")</f>
        <v/>
      </c>
    </row>
    <row r="142" ht="15" customHeight="1">
      <c r="A142" t="inlineStr">
        <is>
          <t>A 60435-2022</t>
        </is>
      </c>
      <c r="B142" s="1" t="n">
        <v>44911</v>
      </c>
      <c r="C142" s="1" t="n">
        <v>45202</v>
      </c>
      <c r="D142" t="inlineStr">
        <is>
          <t>JÄMTLANDS LÄN</t>
        </is>
      </c>
      <c r="E142" t="inlineStr">
        <is>
          <t>ÅRE</t>
        </is>
      </c>
      <c r="F142" t="inlineStr">
        <is>
          <t>Övriga Aktiebolag</t>
        </is>
      </c>
      <c r="G142" t="n">
        <v>7.9</v>
      </c>
      <c r="H142" t="n">
        <v>0</v>
      </c>
      <c r="I142" t="n">
        <v>1</v>
      </c>
      <c r="J142" t="n">
        <v>0</v>
      </c>
      <c r="K142" t="n">
        <v>0</v>
      </c>
      <c r="L142" t="n">
        <v>0</v>
      </c>
      <c r="M142" t="n">
        <v>0</v>
      </c>
      <c r="N142" t="n">
        <v>0</v>
      </c>
      <c r="O142" t="n">
        <v>0</v>
      </c>
      <c r="P142" t="n">
        <v>0</v>
      </c>
      <c r="Q142" t="n">
        <v>1</v>
      </c>
      <c r="R142" s="2" t="inlineStr">
        <is>
          <t>Kransrams</t>
        </is>
      </c>
      <c r="S142">
        <f>HYPERLINK("https://klasma.github.io/Logging_ARE/artfynd/A 60435-2022.xlsx", "A 60435-2022")</f>
        <v/>
      </c>
      <c r="T142">
        <f>HYPERLINK("https://klasma.github.io/Logging_ARE/kartor/A 60435-2022.png", "A 60435-2022")</f>
        <v/>
      </c>
      <c r="V142">
        <f>HYPERLINK("https://klasma.github.io/Logging_ARE/klagomål/A 60435-2022.docx", "A 60435-2022")</f>
        <v/>
      </c>
      <c r="W142">
        <f>HYPERLINK("https://klasma.github.io/Logging_ARE/klagomålsmail/A 60435-2022.docx", "A 60435-2022")</f>
        <v/>
      </c>
      <c r="X142">
        <f>HYPERLINK("https://klasma.github.io/Logging_ARE/tillsyn/A 60435-2022.docx", "A 60435-2022")</f>
        <v/>
      </c>
      <c r="Y142">
        <f>HYPERLINK("https://klasma.github.io/Logging_ARE/tillsynsmail/A 60435-2022.docx", "A 60435-2022")</f>
        <v/>
      </c>
    </row>
    <row r="143" ht="15" customHeight="1">
      <c r="A143" t="inlineStr">
        <is>
          <t>A 5480-2023</t>
        </is>
      </c>
      <c r="B143" s="1" t="n">
        <v>44957</v>
      </c>
      <c r="C143" s="1" t="n">
        <v>45202</v>
      </c>
      <c r="D143" t="inlineStr">
        <is>
          <t>JÄMTLANDS LÄN</t>
        </is>
      </c>
      <c r="E143" t="inlineStr">
        <is>
          <t>ÅRE</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5480-2023.xlsx", "A 5480-2023")</f>
        <v/>
      </c>
      <c r="T143">
        <f>HYPERLINK("https://klasma.github.io/Logging_ARE/kartor/A 5480-2023.png", "A 5480-2023")</f>
        <v/>
      </c>
      <c r="V143">
        <f>HYPERLINK("https://klasma.github.io/Logging_ARE/klagomål/A 5480-2023.docx", "A 5480-2023")</f>
        <v/>
      </c>
      <c r="W143">
        <f>HYPERLINK("https://klasma.github.io/Logging_ARE/klagomålsmail/A 5480-2023.docx", "A 5480-2023")</f>
        <v/>
      </c>
      <c r="X143">
        <f>HYPERLINK("https://klasma.github.io/Logging_ARE/tillsyn/A 5480-2023.docx", "A 5480-2023")</f>
        <v/>
      </c>
      <c r="Y143">
        <f>HYPERLINK("https://klasma.github.io/Logging_ARE/tillsynsmail/A 5480-2023.docx", "A 5480-2023")</f>
        <v/>
      </c>
    </row>
    <row r="144" ht="15" customHeight="1">
      <c r="A144" t="inlineStr">
        <is>
          <t>A 10632-2023</t>
        </is>
      </c>
      <c r="B144" s="1" t="n">
        <v>44984</v>
      </c>
      <c r="C144" s="1" t="n">
        <v>45202</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10632-2023.xlsx", "A 10632-2023")</f>
        <v/>
      </c>
      <c r="T144">
        <f>HYPERLINK("https://klasma.github.io/Logging_ARE/kartor/A 10632-2023.png", "A 10632-2023")</f>
        <v/>
      </c>
      <c r="V144">
        <f>HYPERLINK("https://klasma.github.io/Logging_ARE/klagomål/A 10632-2023.docx", "A 10632-2023")</f>
        <v/>
      </c>
      <c r="W144">
        <f>HYPERLINK("https://klasma.github.io/Logging_ARE/klagomålsmail/A 10632-2023.docx", "A 10632-2023")</f>
        <v/>
      </c>
      <c r="X144">
        <f>HYPERLINK("https://klasma.github.io/Logging_ARE/tillsyn/A 10632-2023.docx", "A 10632-2023")</f>
        <v/>
      </c>
      <c r="Y144">
        <f>HYPERLINK("https://klasma.github.io/Logging_ARE/tillsynsmail/A 10632-2023.docx", "A 10632-2023")</f>
        <v/>
      </c>
    </row>
    <row r="145" ht="15" customHeight="1">
      <c r="A145" t="inlineStr">
        <is>
          <t>A 13625-2023</t>
        </is>
      </c>
      <c r="B145" s="1" t="n">
        <v>45006</v>
      </c>
      <c r="C145" s="1" t="n">
        <v>45202</v>
      </c>
      <c r="D145" t="inlineStr">
        <is>
          <t>JÄMTLANDS LÄN</t>
        </is>
      </c>
      <c r="E145" t="inlineStr">
        <is>
          <t>ÅRE</t>
        </is>
      </c>
      <c r="G145" t="n">
        <v>22.9</v>
      </c>
      <c r="H145" t="n">
        <v>1</v>
      </c>
      <c r="I145" t="n">
        <v>0</v>
      </c>
      <c r="J145" t="n">
        <v>1</v>
      </c>
      <c r="K145" t="n">
        <v>0</v>
      </c>
      <c r="L145" t="n">
        <v>0</v>
      </c>
      <c r="M145" t="n">
        <v>0</v>
      </c>
      <c r="N145" t="n">
        <v>0</v>
      </c>
      <c r="O145" t="n">
        <v>1</v>
      </c>
      <c r="P145" t="n">
        <v>0</v>
      </c>
      <c r="Q145" t="n">
        <v>1</v>
      </c>
      <c r="R145" s="2" t="inlineStr">
        <is>
          <t>Tretåig hackspett</t>
        </is>
      </c>
      <c r="S145">
        <f>HYPERLINK("https://klasma.github.io/Logging_ARE/artfynd/A 13625-2023.xlsx", "A 13625-2023")</f>
        <v/>
      </c>
      <c r="T145">
        <f>HYPERLINK("https://klasma.github.io/Logging_ARE/kartor/A 13625-2023.png", "A 13625-2023")</f>
        <v/>
      </c>
      <c r="V145">
        <f>HYPERLINK("https://klasma.github.io/Logging_ARE/klagomål/A 13625-2023.docx", "A 13625-2023")</f>
        <v/>
      </c>
      <c r="W145">
        <f>HYPERLINK("https://klasma.github.io/Logging_ARE/klagomålsmail/A 13625-2023.docx", "A 13625-2023")</f>
        <v/>
      </c>
      <c r="X145">
        <f>HYPERLINK("https://klasma.github.io/Logging_ARE/tillsyn/A 13625-2023.docx", "A 13625-2023")</f>
        <v/>
      </c>
      <c r="Y145">
        <f>HYPERLINK("https://klasma.github.io/Logging_ARE/tillsynsmail/A 13625-2023.docx", "A 13625-2023")</f>
        <v/>
      </c>
    </row>
    <row r="146" ht="15" customHeight="1">
      <c r="A146" t="inlineStr">
        <is>
          <t>A 36231-2018</t>
        </is>
      </c>
      <c r="B146" s="1" t="n">
        <v>43328</v>
      </c>
      <c r="C146" s="1" t="n">
        <v>45202</v>
      </c>
      <c r="D146" t="inlineStr">
        <is>
          <t>JÄMTLANDS LÄN</t>
        </is>
      </c>
      <c r="E146" t="inlineStr">
        <is>
          <t>ÅRE</t>
        </is>
      </c>
      <c r="G146" t="n">
        <v>7.1</v>
      </c>
      <c r="H146" t="n">
        <v>0</v>
      </c>
      <c r="I146" t="n">
        <v>0</v>
      </c>
      <c r="J146" t="n">
        <v>0</v>
      </c>
      <c r="K146" t="n">
        <v>0</v>
      </c>
      <c r="L146" t="n">
        <v>0</v>
      </c>
      <c r="M146" t="n">
        <v>0</v>
      </c>
      <c r="N146" t="n">
        <v>0</v>
      </c>
      <c r="O146" t="n">
        <v>0</v>
      </c>
      <c r="P146" t="n">
        <v>0</v>
      </c>
      <c r="Q146" t="n">
        <v>0</v>
      </c>
      <c r="R146" s="2" t="inlineStr"/>
    </row>
    <row r="147" ht="15" customHeight="1">
      <c r="A147" t="inlineStr">
        <is>
          <t>A 43244-2018</t>
        </is>
      </c>
      <c r="B147" s="1" t="n">
        <v>43353</v>
      </c>
      <c r="C147" s="1" t="n">
        <v>45202</v>
      </c>
      <c r="D147" t="inlineStr">
        <is>
          <t>JÄMTLANDS LÄN</t>
        </is>
      </c>
      <c r="E147" t="inlineStr">
        <is>
          <t>ÅRE</t>
        </is>
      </c>
      <c r="F147" t="inlineStr">
        <is>
          <t>Övriga statliga verk och myndigheter</t>
        </is>
      </c>
      <c r="G147" t="n">
        <v>12.9</v>
      </c>
      <c r="H147" t="n">
        <v>0</v>
      </c>
      <c r="I147" t="n">
        <v>0</v>
      </c>
      <c r="J147" t="n">
        <v>0</v>
      </c>
      <c r="K147" t="n">
        <v>0</v>
      </c>
      <c r="L147" t="n">
        <v>0</v>
      </c>
      <c r="M147" t="n">
        <v>0</v>
      </c>
      <c r="N147" t="n">
        <v>0</v>
      </c>
      <c r="O147" t="n">
        <v>0</v>
      </c>
      <c r="P147" t="n">
        <v>0</v>
      </c>
      <c r="Q147" t="n">
        <v>0</v>
      </c>
      <c r="R147" s="2" t="inlineStr"/>
    </row>
    <row r="148" ht="15" customHeight="1">
      <c r="A148" t="inlineStr">
        <is>
          <t>A 44507-2018</t>
        </is>
      </c>
      <c r="B148" s="1" t="n">
        <v>43355</v>
      </c>
      <c r="C148" s="1" t="n">
        <v>45202</v>
      </c>
      <c r="D148" t="inlineStr">
        <is>
          <t>JÄMTLANDS LÄN</t>
        </is>
      </c>
      <c r="E148" t="inlineStr">
        <is>
          <t>ÅRE</t>
        </is>
      </c>
      <c r="G148" t="n">
        <v>7.2</v>
      </c>
      <c r="H148" t="n">
        <v>0</v>
      </c>
      <c r="I148" t="n">
        <v>0</v>
      </c>
      <c r="J148" t="n">
        <v>0</v>
      </c>
      <c r="K148" t="n">
        <v>0</v>
      </c>
      <c r="L148" t="n">
        <v>0</v>
      </c>
      <c r="M148" t="n">
        <v>0</v>
      </c>
      <c r="N148" t="n">
        <v>0</v>
      </c>
      <c r="O148" t="n">
        <v>0</v>
      </c>
      <c r="P148" t="n">
        <v>0</v>
      </c>
      <c r="Q148" t="n">
        <v>0</v>
      </c>
      <c r="R148" s="2" t="inlineStr"/>
    </row>
    <row r="149" ht="15" customHeight="1">
      <c r="A149" t="inlineStr">
        <is>
          <t>A 44558-2018</t>
        </is>
      </c>
      <c r="B149" s="1" t="n">
        <v>43355</v>
      </c>
      <c r="C149" s="1" t="n">
        <v>45202</v>
      </c>
      <c r="D149" t="inlineStr">
        <is>
          <t>JÄMTLANDS LÄN</t>
        </is>
      </c>
      <c r="E149" t="inlineStr">
        <is>
          <t>ÅRE</t>
        </is>
      </c>
      <c r="G149" t="n">
        <v>3.4</v>
      </c>
      <c r="H149" t="n">
        <v>0</v>
      </c>
      <c r="I149" t="n">
        <v>0</v>
      </c>
      <c r="J149" t="n">
        <v>0</v>
      </c>
      <c r="K149" t="n">
        <v>0</v>
      </c>
      <c r="L149" t="n">
        <v>0</v>
      </c>
      <c r="M149" t="n">
        <v>0</v>
      </c>
      <c r="N149" t="n">
        <v>0</v>
      </c>
      <c r="O149" t="n">
        <v>0</v>
      </c>
      <c r="P149" t="n">
        <v>0</v>
      </c>
      <c r="Q149" t="n">
        <v>0</v>
      </c>
      <c r="R149" s="2" t="inlineStr"/>
    </row>
    <row r="150" ht="15" customHeight="1">
      <c r="A150" t="inlineStr">
        <is>
          <t>A 43661-2018</t>
        </is>
      </c>
      <c r="B150" s="1" t="n">
        <v>43357</v>
      </c>
      <c r="C150" s="1" t="n">
        <v>45202</v>
      </c>
      <c r="D150" t="inlineStr">
        <is>
          <t>JÄMTLANDS LÄN</t>
        </is>
      </c>
      <c r="E150" t="inlineStr">
        <is>
          <t>ÅRE</t>
        </is>
      </c>
      <c r="F150" t="inlineStr">
        <is>
          <t>Övriga Aktiebolag</t>
        </is>
      </c>
      <c r="G150" t="n">
        <v>21.3</v>
      </c>
      <c r="H150" t="n">
        <v>0</v>
      </c>
      <c r="I150" t="n">
        <v>0</v>
      </c>
      <c r="J150" t="n">
        <v>0</v>
      </c>
      <c r="K150" t="n">
        <v>0</v>
      </c>
      <c r="L150" t="n">
        <v>0</v>
      </c>
      <c r="M150" t="n">
        <v>0</v>
      </c>
      <c r="N150" t="n">
        <v>0</v>
      </c>
      <c r="O150" t="n">
        <v>0</v>
      </c>
      <c r="P150" t="n">
        <v>0</v>
      </c>
      <c r="Q150" t="n">
        <v>0</v>
      </c>
      <c r="R150" s="2" t="inlineStr"/>
    </row>
    <row r="151" ht="15" customHeight="1">
      <c r="A151" t="inlineStr">
        <is>
          <t>A 46640-2018</t>
        </is>
      </c>
      <c r="B151" s="1" t="n">
        <v>43368</v>
      </c>
      <c r="C151" s="1" t="n">
        <v>45202</v>
      </c>
      <c r="D151" t="inlineStr">
        <is>
          <t>JÄMTLANDS LÄN</t>
        </is>
      </c>
      <c r="E151" t="inlineStr">
        <is>
          <t>ÅRE</t>
        </is>
      </c>
      <c r="G151" t="n">
        <v>1.8</v>
      </c>
      <c r="H151" t="n">
        <v>0</v>
      </c>
      <c r="I151" t="n">
        <v>0</v>
      </c>
      <c r="J151" t="n">
        <v>0</v>
      </c>
      <c r="K151" t="n">
        <v>0</v>
      </c>
      <c r="L151" t="n">
        <v>0</v>
      </c>
      <c r="M151" t="n">
        <v>0</v>
      </c>
      <c r="N151" t="n">
        <v>0</v>
      </c>
      <c r="O151" t="n">
        <v>0</v>
      </c>
      <c r="P151" t="n">
        <v>0</v>
      </c>
      <c r="Q151" t="n">
        <v>0</v>
      </c>
      <c r="R151" s="2" t="inlineStr"/>
    </row>
    <row r="152" ht="15" customHeight="1">
      <c r="A152" t="inlineStr">
        <is>
          <t>A 47303-2018</t>
        </is>
      </c>
      <c r="B152" s="1" t="n">
        <v>43369</v>
      </c>
      <c r="C152" s="1" t="n">
        <v>45202</v>
      </c>
      <c r="D152" t="inlineStr">
        <is>
          <t>JÄMTLANDS LÄN</t>
        </is>
      </c>
      <c r="E152" t="inlineStr">
        <is>
          <t>ÅRE</t>
        </is>
      </c>
      <c r="G152" t="n">
        <v>14.5</v>
      </c>
      <c r="H152" t="n">
        <v>0</v>
      </c>
      <c r="I152" t="n">
        <v>0</v>
      </c>
      <c r="J152" t="n">
        <v>0</v>
      </c>
      <c r="K152" t="n">
        <v>0</v>
      </c>
      <c r="L152" t="n">
        <v>0</v>
      </c>
      <c r="M152" t="n">
        <v>0</v>
      </c>
      <c r="N152" t="n">
        <v>0</v>
      </c>
      <c r="O152" t="n">
        <v>0</v>
      </c>
      <c r="P152" t="n">
        <v>0</v>
      </c>
      <c r="Q152" t="n">
        <v>0</v>
      </c>
      <c r="R152" s="2" t="inlineStr"/>
    </row>
    <row r="153" ht="15" customHeight="1">
      <c r="A153" t="inlineStr">
        <is>
          <t>A 50928-2018</t>
        </is>
      </c>
      <c r="B153" s="1" t="n">
        <v>43375</v>
      </c>
      <c r="C153" s="1" t="n">
        <v>45202</v>
      </c>
      <c r="D153" t="inlineStr">
        <is>
          <t>JÄMTLANDS LÄN</t>
        </is>
      </c>
      <c r="E153" t="inlineStr">
        <is>
          <t>ÅRE</t>
        </is>
      </c>
      <c r="G153" t="n">
        <v>8.6</v>
      </c>
      <c r="H153" t="n">
        <v>0</v>
      </c>
      <c r="I153" t="n">
        <v>0</v>
      </c>
      <c r="J153" t="n">
        <v>0</v>
      </c>
      <c r="K153" t="n">
        <v>0</v>
      </c>
      <c r="L153" t="n">
        <v>0</v>
      </c>
      <c r="M153" t="n">
        <v>0</v>
      </c>
      <c r="N153" t="n">
        <v>0</v>
      </c>
      <c r="O153" t="n">
        <v>0</v>
      </c>
      <c r="P153" t="n">
        <v>0</v>
      </c>
      <c r="Q153" t="n">
        <v>0</v>
      </c>
      <c r="R153" s="2" t="inlineStr"/>
    </row>
    <row r="154" ht="15" customHeight="1">
      <c r="A154" t="inlineStr">
        <is>
          <t>A 51383-2018</t>
        </is>
      </c>
      <c r="B154" s="1" t="n">
        <v>43383</v>
      </c>
      <c r="C154" s="1" t="n">
        <v>45202</v>
      </c>
      <c r="D154" t="inlineStr">
        <is>
          <t>JÄMTLANDS LÄN</t>
        </is>
      </c>
      <c r="E154" t="inlineStr">
        <is>
          <t>ÅRE</t>
        </is>
      </c>
      <c r="G154" t="n">
        <v>1.9</v>
      </c>
      <c r="H154" t="n">
        <v>0</v>
      </c>
      <c r="I154" t="n">
        <v>0</v>
      </c>
      <c r="J154" t="n">
        <v>0</v>
      </c>
      <c r="K154" t="n">
        <v>0</v>
      </c>
      <c r="L154" t="n">
        <v>0</v>
      </c>
      <c r="M154" t="n">
        <v>0</v>
      </c>
      <c r="N154" t="n">
        <v>0</v>
      </c>
      <c r="O154" t="n">
        <v>0</v>
      </c>
      <c r="P154" t="n">
        <v>0</v>
      </c>
      <c r="Q154" t="n">
        <v>0</v>
      </c>
      <c r="R154" s="2" t="inlineStr"/>
    </row>
    <row r="155" ht="15" customHeight="1">
      <c r="A155" t="inlineStr">
        <is>
          <t>A 52842-2018</t>
        </is>
      </c>
      <c r="B155" s="1" t="n">
        <v>43384</v>
      </c>
      <c r="C155" s="1" t="n">
        <v>45202</v>
      </c>
      <c r="D155" t="inlineStr">
        <is>
          <t>JÄMTLANDS LÄN</t>
        </is>
      </c>
      <c r="E155" t="inlineStr">
        <is>
          <t>ÅRE</t>
        </is>
      </c>
      <c r="G155" t="n">
        <v>1.1</v>
      </c>
      <c r="H155" t="n">
        <v>0</v>
      </c>
      <c r="I155" t="n">
        <v>0</v>
      </c>
      <c r="J155" t="n">
        <v>0</v>
      </c>
      <c r="K155" t="n">
        <v>0</v>
      </c>
      <c r="L155" t="n">
        <v>0</v>
      </c>
      <c r="M155" t="n">
        <v>0</v>
      </c>
      <c r="N155" t="n">
        <v>0</v>
      </c>
      <c r="O155" t="n">
        <v>0</v>
      </c>
      <c r="P155" t="n">
        <v>0</v>
      </c>
      <c r="Q155" t="n">
        <v>0</v>
      </c>
      <c r="R155" s="2" t="inlineStr"/>
    </row>
    <row r="156" ht="15" customHeight="1">
      <c r="A156" t="inlineStr">
        <is>
          <t>A 52573-2018</t>
        </is>
      </c>
      <c r="B156" s="1" t="n">
        <v>43388</v>
      </c>
      <c r="C156" s="1" t="n">
        <v>45202</v>
      </c>
      <c r="D156" t="inlineStr">
        <is>
          <t>JÄMTLANDS LÄN</t>
        </is>
      </c>
      <c r="E156" t="inlineStr">
        <is>
          <t>ÅRE</t>
        </is>
      </c>
      <c r="G156" t="n">
        <v>4.4</v>
      </c>
      <c r="H156" t="n">
        <v>0</v>
      </c>
      <c r="I156" t="n">
        <v>0</v>
      </c>
      <c r="J156" t="n">
        <v>0</v>
      </c>
      <c r="K156" t="n">
        <v>0</v>
      </c>
      <c r="L156" t="n">
        <v>0</v>
      </c>
      <c r="M156" t="n">
        <v>0</v>
      </c>
      <c r="N156" t="n">
        <v>0</v>
      </c>
      <c r="O156" t="n">
        <v>0</v>
      </c>
      <c r="P156" t="n">
        <v>0</v>
      </c>
      <c r="Q156" t="n">
        <v>0</v>
      </c>
      <c r="R156" s="2" t="inlineStr"/>
    </row>
    <row r="157" ht="15" customHeight="1">
      <c r="A157" t="inlineStr">
        <is>
          <t>A 52615-2018</t>
        </is>
      </c>
      <c r="B157" s="1" t="n">
        <v>43389</v>
      </c>
      <c r="C157" s="1" t="n">
        <v>45202</v>
      </c>
      <c r="D157" t="inlineStr">
        <is>
          <t>JÄMTLANDS LÄN</t>
        </is>
      </c>
      <c r="E157" t="inlineStr">
        <is>
          <t>ÅRE</t>
        </is>
      </c>
      <c r="F157" t="inlineStr">
        <is>
          <t>Övriga Aktiebolag</t>
        </is>
      </c>
      <c r="G157" t="n">
        <v>65.90000000000001</v>
      </c>
      <c r="H157" t="n">
        <v>0</v>
      </c>
      <c r="I157" t="n">
        <v>0</v>
      </c>
      <c r="J157" t="n">
        <v>0</v>
      </c>
      <c r="K157" t="n">
        <v>0</v>
      </c>
      <c r="L157" t="n">
        <v>0</v>
      </c>
      <c r="M157" t="n">
        <v>0</v>
      </c>
      <c r="N157" t="n">
        <v>0</v>
      </c>
      <c r="O157" t="n">
        <v>0</v>
      </c>
      <c r="P157" t="n">
        <v>0</v>
      </c>
      <c r="Q157" t="n">
        <v>0</v>
      </c>
      <c r="R157" s="2" t="inlineStr"/>
    </row>
    <row r="158" ht="15" customHeight="1">
      <c r="A158" t="inlineStr">
        <is>
          <t>A 53430-2018</t>
        </is>
      </c>
      <c r="B158" s="1" t="n">
        <v>43391</v>
      </c>
      <c r="C158" s="1" t="n">
        <v>45202</v>
      </c>
      <c r="D158" t="inlineStr">
        <is>
          <t>JÄMTLANDS LÄN</t>
        </is>
      </c>
      <c r="E158" t="inlineStr">
        <is>
          <t>ÅRE</t>
        </is>
      </c>
      <c r="G158" t="n">
        <v>0.5</v>
      </c>
      <c r="H158" t="n">
        <v>0</v>
      </c>
      <c r="I158" t="n">
        <v>0</v>
      </c>
      <c r="J158" t="n">
        <v>0</v>
      </c>
      <c r="K158" t="n">
        <v>0</v>
      </c>
      <c r="L158" t="n">
        <v>0</v>
      </c>
      <c r="M158" t="n">
        <v>0</v>
      </c>
      <c r="N158" t="n">
        <v>0</v>
      </c>
      <c r="O158" t="n">
        <v>0</v>
      </c>
      <c r="P158" t="n">
        <v>0</v>
      </c>
      <c r="Q158" t="n">
        <v>0</v>
      </c>
      <c r="R158" s="2" t="inlineStr"/>
    </row>
    <row r="159" ht="15" customHeight="1">
      <c r="A159" t="inlineStr">
        <is>
          <t>A 54859-2018</t>
        </is>
      </c>
      <c r="B159" s="1" t="n">
        <v>43396</v>
      </c>
      <c r="C159" s="1" t="n">
        <v>45202</v>
      </c>
      <c r="D159" t="inlineStr">
        <is>
          <t>JÄMTLANDS LÄN</t>
        </is>
      </c>
      <c r="E159" t="inlineStr">
        <is>
          <t>ÅRE</t>
        </is>
      </c>
      <c r="G159" t="n">
        <v>2.1</v>
      </c>
      <c r="H159" t="n">
        <v>0</v>
      </c>
      <c r="I159" t="n">
        <v>0</v>
      </c>
      <c r="J159" t="n">
        <v>0</v>
      </c>
      <c r="K159" t="n">
        <v>0</v>
      </c>
      <c r="L159" t="n">
        <v>0</v>
      </c>
      <c r="M159" t="n">
        <v>0</v>
      </c>
      <c r="N159" t="n">
        <v>0</v>
      </c>
      <c r="O159" t="n">
        <v>0</v>
      </c>
      <c r="P159" t="n">
        <v>0</v>
      </c>
      <c r="Q159" t="n">
        <v>0</v>
      </c>
      <c r="R159" s="2" t="inlineStr"/>
    </row>
    <row r="160" ht="15" customHeight="1">
      <c r="A160" t="inlineStr">
        <is>
          <t>A 57752-2018</t>
        </is>
      </c>
      <c r="B160" s="1" t="n">
        <v>43397</v>
      </c>
      <c r="C160" s="1" t="n">
        <v>45202</v>
      </c>
      <c r="D160" t="inlineStr">
        <is>
          <t>JÄMTLANDS LÄN</t>
        </is>
      </c>
      <c r="E160" t="inlineStr">
        <is>
          <t>ÅRE</t>
        </is>
      </c>
      <c r="G160" t="n">
        <v>0.7</v>
      </c>
      <c r="H160" t="n">
        <v>0</v>
      </c>
      <c r="I160" t="n">
        <v>0</v>
      </c>
      <c r="J160" t="n">
        <v>0</v>
      </c>
      <c r="K160" t="n">
        <v>0</v>
      </c>
      <c r="L160" t="n">
        <v>0</v>
      </c>
      <c r="M160" t="n">
        <v>0</v>
      </c>
      <c r="N160" t="n">
        <v>0</v>
      </c>
      <c r="O160" t="n">
        <v>0</v>
      </c>
      <c r="P160" t="n">
        <v>0</v>
      </c>
      <c r="Q160" t="n">
        <v>0</v>
      </c>
      <c r="R160" s="2" t="inlineStr"/>
    </row>
    <row r="161" ht="15" customHeight="1">
      <c r="A161" t="inlineStr">
        <is>
          <t>A 56780-2018</t>
        </is>
      </c>
      <c r="B161" s="1" t="n">
        <v>43402</v>
      </c>
      <c r="C161" s="1" t="n">
        <v>45202</v>
      </c>
      <c r="D161" t="inlineStr">
        <is>
          <t>JÄMTLANDS LÄN</t>
        </is>
      </c>
      <c r="E161" t="inlineStr">
        <is>
          <t>ÅRE</t>
        </is>
      </c>
      <c r="G161" t="n">
        <v>45.1</v>
      </c>
      <c r="H161" t="n">
        <v>0</v>
      </c>
      <c r="I161" t="n">
        <v>0</v>
      </c>
      <c r="J161" t="n">
        <v>0</v>
      </c>
      <c r="K161" t="n">
        <v>0</v>
      </c>
      <c r="L161" t="n">
        <v>0</v>
      </c>
      <c r="M161" t="n">
        <v>0</v>
      </c>
      <c r="N161" t="n">
        <v>0</v>
      </c>
      <c r="O161" t="n">
        <v>0</v>
      </c>
      <c r="P161" t="n">
        <v>0</v>
      </c>
      <c r="Q161" t="n">
        <v>0</v>
      </c>
      <c r="R161" s="2" t="inlineStr"/>
    </row>
    <row r="162" ht="15" customHeight="1">
      <c r="A162" t="inlineStr">
        <is>
          <t>A 61198-2018</t>
        </is>
      </c>
      <c r="B162" s="1" t="n">
        <v>43423</v>
      </c>
      <c r="C162" s="1" t="n">
        <v>45202</v>
      </c>
      <c r="D162" t="inlineStr">
        <is>
          <t>JÄMTLANDS LÄN</t>
        </is>
      </c>
      <c r="E162" t="inlineStr">
        <is>
          <t>ÅRE</t>
        </is>
      </c>
      <c r="G162" t="n">
        <v>4.2</v>
      </c>
      <c r="H162" t="n">
        <v>0</v>
      </c>
      <c r="I162" t="n">
        <v>0</v>
      </c>
      <c r="J162" t="n">
        <v>0</v>
      </c>
      <c r="K162" t="n">
        <v>0</v>
      </c>
      <c r="L162" t="n">
        <v>0</v>
      </c>
      <c r="M162" t="n">
        <v>0</v>
      </c>
      <c r="N162" t="n">
        <v>0</v>
      </c>
      <c r="O162" t="n">
        <v>0</v>
      </c>
      <c r="P162" t="n">
        <v>0</v>
      </c>
      <c r="Q162" t="n">
        <v>0</v>
      </c>
      <c r="R162" s="2" t="inlineStr"/>
    </row>
    <row r="163" ht="15" customHeight="1">
      <c r="A163" t="inlineStr">
        <is>
          <t>A 61002-2018</t>
        </is>
      </c>
      <c r="B163" s="1" t="n">
        <v>43423</v>
      </c>
      <c r="C163" s="1" t="n">
        <v>45202</v>
      </c>
      <c r="D163" t="inlineStr">
        <is>
          <t>JÄMTLANDS LÄN</t>
        </is>
      </c>
      <c r="E163" t="inlineStr">
        <is>
          <t>ÅRE</t>
        </is>
      </c>
      <c r="G163" t="n">
        <v>3.5</v>
      </c>
      <c r="H163" t="n">
        <v>0</v>
      </c>
      <c r="I163" t="n">
        <v>0</v>
      </c>
      <c r="J163" t="n">
        <v>0</v>
      </c>
      <c r="K163" t="n">
        <v>0</v>
      </c>
      <c r="L163" t="n">
        <v>0</v>
      </c>
      <c r="M163" t="n">
        <v>0</v>
      </c>
      <c r="N163" t="n">
        <v>0</v>
      </c>
      <c r="O163" t="n">
        <v>0</v>
      </c>
      <c r="P163" t="n">
        <v>0</v>
      </c>
      <c r="Q163" t="n">
        <v>0</v>
      </c>
      <c r="R163" s="2" t="inlineStr"/>
    </row>
    <row r="164" ht="15" customHeight="1">
      <c r="A164" t="inlineStr">
        <is>
          <t>A 61032-2018</t>
        </is>
      </c>
      <c r="B164" s="1" t="n">
        <v>43423</v>
      </c>
      <c r="C164" s="1" t="n">
        <v>45202</v>
      </c>
      <c r="D164" t="inlineStr">
        <is>
          <t>JÄMTLANDS LÄN</t>
        </is>
      </c>
      <c r="E164" t="inlineStr">
        <is>
          <t>ÅRE</t>
        </is>
      </c>
      <c r="G164" t="n">
        <v>0.8</v>
      </c>
      <c r="H164" t="n">
        <v>0</v>
      </c>
      <c r="I164" t="n">
        <v>0</v>
      </c>
      <c r="J164" t="n">
        <v>0</v>
      </c>
      <c r="K164" t="n">
        <v>0</v>
      </c>
      <c r="L164" t="n">
        <v>0</v>
      </c>
      <c r="M164" t="n">
        <v>0</v>
      </c>
      <c r="N164" t="n">
        <v>0</v>
      </c>
      <c r="O164" t="n">
        <v>0</v>
      </c>
      <c r="P164" t="n">
        <v>0</v>
      </c>
      <c r="Q164" t="n">
        <v>0</v>
      </c>
      <c r="R164" s="2" t="inlineStr"/>
    </row>
    <row r="165" ht="15" customHeight="1">
      <c r="A165" t="inlineStr">
        <is>
          <t>A 61054-2018</t>
        </is>
      </c>
      <c r="B165" s="1" t="n">
        <v>43423</v>
      </c>
      <c r="C165" s="1" t="n">
        <v>45202</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61015-2018</t>
        </is>
      </c>
      <c r="B166" s="1" t="n">
        <v>43423</v>
      </c>
      <c r="C166" s="1" t="n">
        <v>45202</v>
      </c>
      <c r="D166" t="inlineStr">
        <is>
          <t>JÄMTLANDS LÄN</t>
        </is>
      </c>
      <c r="E166" t="inlineStr">
        <is>
          <t>ÅRE</t>
        </is>
      </c>
      <c r="G166" t="n">
        <v>0.6</v>
      </c>
      <c r="H166" t="n">
        <v>0</v>
      </c>
      <c r="I166" t="n">
        <v>0</v>
      </c>
      <c r="J166" t="n">
        <v>0</v>
      </c>
      <c r="K166" t="n">
        <v>0</v>
      </c>
      <c r="L166" t="n">
        <v>0</v>
      </c>
      <c r="M166" t="n">
        <v>0</v>
      </c>
      <c r="N166" t="n">
        <v>0</v>
      </c>
      <c r="O166" t="n">
        <v>0</v>
      </c>
      <c r="P166" t="n">
        <v>0</v>
      </c>
      <c r="Q166" t="n">
        <v>0</v>
      </c>
      <c r="R166" s="2" t="inlineStr"/>
    </row>
    <row r="167" ht="15" customHeight="1">
      <c r="A167" t="inlineStr">
        <is>
          <t>A 61062-2018</t>
        </is>
      </c>
      <c r="B167" s="1" t="n">
        <v>43423</v>
      </c>
      <c r="C167" s="1" t="n">
        <v>45202</v>
      </c>
      <c r="D167" t="inlineStr">
        <is>
          <t>JÄMTLANDS LÄN</t>
        </is>
      </c>
      <c r="E167" t="inlineStr">
        <is>
          <t>ÅRE</t>
        </is>
      </c>
      <c r="G167" t="n">
        <v>0.9</v>
      </c>
      <c r="H167" t="n">
        <v>0</v>
      </c>
      <c r="I167" t="n">
        <v>0</v>
      </c>
      <c r="J167" t="n">
        <v>0</v>
      </c>
      <c r="K167" t="n">
        <v>0</v>
      </c>
      <c r="L167" t="n">
        <v>0</v>
      </c>
      <c r="M167" t="n">
        <v>0</v>
      </c>
      <c r="N167" t="n">
        <v>0</v>
      </c>
      <c r="O167" t="n">
        <v>0</v>
      </c>
      <c r="P167" t="n">
        <v>0</v>
      </c>
      <c r="Q167" t="n">
        <v>0</v>
      </c>
      <c r="R167" s="2" t="inlineStr"/>
    </row>
    <row r="168" ht="15" customHeight="1">
      <c r="A168" t="inlineStr">
        <is>
          <t>A 61499-2018</t>
        </is>
      </c>
      <c r="B168" s="1" t="n">
        <v>43424</v>
      </c>
      <c r="C168" s="1" t="n">
        <v>45202</v>
      </c>
      <c r="D168" t="inlineStr">
        <is>
          <t>JÄMTLANDS LÄN</t>
        </is>
      </c>
      <c r="E168" t="inlineStr">
        <is>
          <t>ÅRE</t>
        </is>
      </c>
      <c r="G168" t="n">
        <v>20.6</v>
      </c>
      <c r="H168" t="n">
        <v>0</v>
      </c>
      <c r="I168" t="n">
        <v>0</v>
      </c>
      <c r="J168" t="n">
        <v>0</v>
      </c>
      <c r="K168" t="n">
        <v>0</v>
      </c>
      <c r="L168" t="n">
        <v>0</v>
      </c>
      <c r="M168" t="n">
        <v>0</v>
      </c>
      <c r="N168" t="n">
        <v>0</v>
      </c>
      <c r="O168" t="n">
        <v>0</v>
      </c>
      <c r="P168" t="n">
        <v>0</v>
      </c>
      <c r="Q168" t="n">
        <v>0</v>
      </c>
      <c r="R168" s="2" t="inlineStr"/>
    </row>
    <row r="169" ht="15" customHeight="1">
      <c r="A169" t="inlineStr">
        <is>
          <t>A 61508-2018</t>
        </is>
      </c>
      <c r="B169" s="1" t="n">
        <v>43424</v>
      </c>
      <c r="C169" s="1" t="n">
        <v>45202</v>
      </c>
      <c r="D169" t="inlineStr">
        <is>
          <t>JÄMTLANDS LÄN</t>
        </is>
      </c>
      <c r="E169" t="inlineStr">
        <is>
          <t>ÅRE</t>
        </is>
      </c>
      <c r="G169" t="n">
        <v>1.9</v>
      </c>
      <c r="H169" t="n">
        <v>0</v>
      </c>
      <c r="I169" t="n">
        <v>0</v>
      </c>
      <c r="J169" t="n">
        <v>0</v>
      </c>
      <c r="K169" t="n">
        <v>0</v>
      </c>
      <c r="L169" t="n">
        <v>0</v>
      </c>
      <c r="M169" t="n">
        <v>0</v>
      </c>
      <c r="N169" t="n">
        <v>0</v>
      </c>
      <c r="O169" t="n">
        <v>0</v>
      </c>
      <c r="P169" t="n">
        <v>0</v>
      </c>
      <c r="Q169" t="n">
        <v>0</v>
      </c>
      <c r="R169" s="2" t="inlineStr"/>
    </row>
    <row r="170" ht="15" customHeight="1">
      <c r="A170" t="inlineStr">
        <is>
          <t>A 61897-2018</t>
        </is>
      </c>
      <c r="B170" s="1" t="n">
        <v>43425</v>
      </c>
      <c r="C170" s="1" t="n">
        <v>45202</v>
      </c>
      <c r="D170" t="inlineStr">
        <is>
          <t>JÄMTLANDS LÄN</t>
        </is>
      </c>
      <c r="E170" t="inlineStr">
        <is>
          <t>ÅRE</t>
        </is>
      </c>
      <c r="G170" t="n">
        <v>2.5</v>
      </c>
      <c r="H170" t="n">
        <v>0</v>
      </c>
      <c r="I170" t="n">
        <v>0</v>
      </c>
      <c r="J170" t="n">
        <v>0</v>
      </c>
      <c r="K170" t="n">
        <v>0</v>
      </c>
      <c r="L170" t="n">
        <v>0</v>
      </c>
      <c r="M170" t="n">
        <v>0</v>
      </c>
      <c r="N170" t="n">
        <v>0</v>
      </c>
      <c r="O170" t="n">
        <v>0</v>
      </c>
      <c r="P170" t="n">
        <v>0</v>
      </c>
      <c r="Q170" t="n">
        <v>0</v>
      </c>
      <c r="R170" s="2" t="inlineStr"/>
    </row>
    <row r="171" ht="15" customHeight="1">
      <c r="A171" t="inlineStr">
        <is>
          <t>A 62167-2018</t>
        </is>
      </c>
      <c r="B171" s="1" t="n">
        <v>43425</v>
      </c>
      <c r="C171" s="1" t="n">
        <v>45202</v>
      </c>
      <c r="D171" t="inlineStr">
        <is>
          <t>JÄMTLANDS LÄN</t>
        </is>
      </c>
      <c r="E171" t="inlineStr">
        <is>
          <t>ÅRE</t>
        </is>
      </c>
      <c r="G171" t="n">
        <v>9</v>
      </c>
      <c r="H171" t="n">
        <v>0</v>
      </c>
      <c r="I171" t="n">
        <v>0</v>
      </c>
      <c r="J171" t="n">
        <v>0</v>
      </c>
      <c r="K171" t="n">
        <v>0</v>
      </c>
      <c r="L171" t="n">
        <v>0</v>
      </c>
      <c r="M171" t="n">
        <v>0</v>
      </c>
      <c r="N171" t="n">
        <v>0</v>
      </c>
      <c r="O171" t="n">
        <v>0</v>
      </c>
      <c r="P171" t="n">
        <v>0</v>
      </c>
      <c r="Q171" t="n">
        <v>0</v>
      </c>
      <c r="R171" s="2" t="inlineStr"/>
    </row>
    <row r="172" ht="15" customHeight="1">
      <c r="A172" t="inlineStr">
        <is>
          <t>A 63721-2018</t>
        </is>
      </c>
      <c r="B172" s="1" t="n">
        <v>43428</v>
      </c>
      <c r="C172" s="1" t="n">
        <v>45202</v>
      </c>
      <c r="D172" t="inlineStr">
        <is>
          <t>JÄMTLANDS LÄN</t>
        </is>
      </c>
      <c r="E172" t="inlineStr">
        <is>
          <t>ÅRE</t>
        </is>
      </c>
      <c r="G172" t="n">
        <v>1.3</v>
      </c>
      <c r="H172" t="n">
        <v>0</v>
      </c>
      <c r="I172" t="n">
        <v>0</v>
      </c>
      <c r="J172" t="n">
        <v>0</v>
      </c>
      <c r="K172" t="n">
        <v>0</v>
      </c>
      <c r="L172" t="n">
        <v>0</v>
      </c>
      <c r="M172" t="n">
        <v>0</v>
      </c>
      <c r="N172" t="n">
        <v>0</v>
      </c>
      <c r="O172" t="n">
        <v>0</v>
      </c>
      <c r="P172" t="n">
        <v>0</v>
      </c>
      <c r="Q172" t="n">
        <v>0</v>
      </c>
      <c r="R172" s="2" t="inlineStr"/>
    </row>
    <row r="173" ht="15" customHeight="1">
      <c r="A173" t="inlineStr">
        <is>
          <t>A 63725-2018</t>
        </is>
      </c>
      <c r="B173" s="1" t="n">
        <v>43428</v>
      </c>
      <c r="C173" s="1" t="n">
        <v>45202</v>
      </c>
      <c r="D173" t="inlineStr">
        <is>
          <t>JÄMTLANDS LÄN</t>
        </is>
      </c>
      <c r="E173" t="inlineStr">
        <is>
          <t>ÅRE</t>
        </is>
      </c>
      <c r="G173" t="n">
        <v>0.9</v>
      </c>
      <c r="H173" t="n">
        <v>0</v>
      </c>
      <c r="I173" t="n">
        <v>0</v>
      </c>
      <c r="J173" t="n">
        <v>0</v>
      </c>
      <c r="K173" t="n">
        <v>0</v>
      </c>
      <c r="L173" t="n">
        <v>0</v>
      </c>
      <c r="M173" t="n">
        <v>0</v>
      </c>
      <c r="N173" t="n">
        <v>0</v>
      </c>
      <c r="O173" t="n">
        <v>0</v>
      </c>
      <c r="P173" t="n">
        <v>0</v>
      </c>
      <c r="Q173" t="n">
        <v>0</v>
      </c>
      <c r="R173" s="2" t="inlineStr"/>
    </row>
    <row r="174" ht="15" customHeight="1">
      <c r="A174" t="inlineStr">
        <is>
          <t>A 63726-2018</t>
        </is>
      </c>
      <c r="B174" s="1" t="n">
        <v>43428</v>
      </c>
      <c r="C174" s="1" t="n">
        <v>45202</v>
      </c>
      <c r="D174" t="inlineStr">
        <is>
          <t>JÄMTLANDS LÄN</t>
        </is>
      </c>
      <c r="E174" t="inlineStr">
        <is>
          <t>ÅRE</t>
        </is>
      </c>
      <c r="G174" t="n">
        <v>3.9</v>
      </c>
      <c r="H174" t="n">
        <v>0</v>
      </c>
      <c r="I174" t="n">
        <v>0</v>
      </c>
      <c r="J174" t="n">
        <v>0</v>
      </c>
      <c r="K174" t="n">
        <v>0</v>
      </c>
      <c r="L174" t="n">
        <v>0</v>
      </c>
      <c r="M174" t="n">
        <v>0</v>
      </c>
      <c r="N174" t="n">
        <v>0</v>
      </c>
      <c r="O174" t="n">
        <v>0</v>
      </c>
      <c r="P174" t="n">
        <v>0</v>
      </c>
      <c r="Q174" t="n">
        <v>0</v>
      </c>
      <c r="R174" s="2" t="inlineStr"/>
    </row>
    <row r="175" ht="15" customHeight="1">
      <c r="A175" t="inlineStr">
        <is>
          <t>A 63720-2018</t>
        </is>
      </c>
      <c r="B175" s="1" t="n">
        <v>43428</v>
      </c>
      <c r="C175" s="1" t="n">
        <v>45202</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63724-2018</t>
        </is>
      </c>
      <c r="B176" s="1" t="n">
        <v>43428</v>
      </c>
      <c r="C176" s="1" t="n">
        <v>45202</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64630-2018</t>
        </is>
      </c>
      <c r="B177" s="1" t="n">
        <v>43431</v>
      </c>
      <c r="C177" s="1" t="n">
        <v>45202</v>
      </c>
      <c r="D177" t="inlineStr">
        <is>
          <t>JÄMTLANDS LÄN</t>
        </is>
      </c>
      <c r="E177" t="inlineStr">
        <is>
          <t>ÅRE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65243-2018</t>
        </is>
      </c>
      <c r="B178" s="1" t="n">
        <v>43432</v>
      </c>
      <c r="C178" s="1" t="n">
        <v>45202</v>
      </c>
      <c r="D178" t="inlineStr">
        <is>
          <t>JÄMTLANDS LÄN</t>
        </is>
      </c>
      <c r="E178" t="inlineStr">
        <is>
          <t>ÅRE</t>
        </is>
      </c>
      <c r="G178" t="n">
        <v>1.1</v>
      </c>
      <c r="H178" t="n">
        <v>0</v>
      </c>
      <c r="I178" t="n">
        <v>0</v>
      </c>
      <c r="J178" t="n">
        <v>0</v>
      </c>
      <c r="K178" t="n">
        <v>0</v>
      </c>
      <c r="L178" t="n">
        <v>0</v>
      </c>
      <c r="M178" t="n">
        <v>0</v>
      </c>
      <c r="N178" t="n">
        <v>0</v>
      </c>
      <c r="O178" t="n">
        <v>0</v>
      </c>
      <c r="P178" t="n">
        <v>0</v>
      </c>
      <c r="Q178" t="n">
        <v>0</v>
      </c>
      <c r="R178" s="2" t="inlineStr"/>
    </row>
    <row r="179" ht="15" customHeight="1">
      <c r="A179" t="inlineStr">
        <is>
          <t>A 65264-2018</t>
        </is>
      </c>
      <c r="B179" s="1" t="n">
        <v>43432</v>
      </c>
      <c r="C179" s="1" t="n">
        <v>45202</v>
      </c>
      <c r="D179" t="inlineStr">
        <is>
          <t>JÄMTLANDS LÄN</t>
        </is>
      </c>
      <c r="E179" t="inlineStr">
        <is>
          <t>ÅRE</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67305-2018</t>
        </is>
      </c>
      <c r="B180" s="1" t="n">
        <v>43439</v>
      </c>
      <c r="C180" s="1" t="n">
        <v>45202</v>
      </c>
      <c r="D180" t="inlineStr">
        <is>
          <t>JÄMTLANDS LÄN</t>
        </is>
      </c>
      <c r="E180" t="inlineStr">
        <is>
          <t>ÅRE</t>
        </is>
      </c>
      <c r="G180" t="n">
        <v>15.8</v>
      </c>
      <c r="H180" t="n">
        <v>0</v>
      </c>
      <c r="I180" t="n">
        <v>0</v>
      </c>
      <c r="J180" t="n">
        <v>0</v>
      </c>
      <c r="K180" t="n">
        <v>0</v>
      </c>
      <c r="L180" t="n">
        <v>0</v>
      </c>
      <c r="M180" t="n">
        <v>0</v>
      </c>
      <c r="N180" t="n">
        <v>0</v>
      </c>
      <c r="O180" t="n">
        <v>0</v>
      </c>
      <c r="P180" t="n">
        <v>0</v>
      </c>
      <c r="Q180" t="n">
        <v>0</v>
      </c>
      <c r="R180" s="2" t="inlineStr"/>
    </row>
    <row r="181" ht="15" customHeight="1">
      <c r="A181" t="inlineStr">
        <is>
          <t>A 68655-2018</t>
        </is>
      </c>
      <c r="B181" s="1" t="n">
        <v>43444</v>
      </c>
      <c r="C181" s="1" t="n">
        <v>45202</v>
      </c>
      <c r="D181" t="inlineStr">
        <is>
          <t>JÄMTLANDS LÄN</t>
        </is>
      </c>
      <c r="E181" t="inlineStr">
        <is>
          <t>ÅRE</t>
        </is>
      </c>
      <c r="G181" t="n">
        <v>1.5</v>
      </c>
      <c r="H181" t="n">
        <v>0</v>
      </c>
      <c r="I181" t="n">
        <v>0</v>
      </c>
      <c r="J181" t="n">
        <v>0</v>
      </c>
      <c r="K181" t="n">
        <v>0</v>
      </c>
      <c r="L181" t="n">
        <v>0</v>
      </c>
      <c r="M181" t="n">
        <v>0</v>
      </c>
      <c r="N181" t="n">
        <v>0</v>
      </c>
      <c r="O181" t="n">
        <v>0</v>
      </c>
      <c r="P181" t="n">
        <v>0</v>
      </c>
      <c r="Q181" t="n">
        <v>0</v>
      </c>
      <c r="R181" s="2" t="inlineStr"/>
    </row>
    <row r="182" ht="15" customHeight="1">
      <c r="A182" t="inlineStr">
        <is>
          <t>A 68659-2018</t>
        </is>
      </c>
      <c r="B182" s="1" t="n">
        <v>43444</v>
      </c>
      <c r="C182" s="1" t="n">
        <v>45202</v>
      </c>
      <c r="D182" t="inlineStr">
        <is>
          <t>JÄMTLANDS LÄN</t>
        </is>
      </c>
      <c r="E182" t="inlineStr">
        <is>
          <t>ÅRE</t>
        </is>
      </c>
      <c r="G182" t="n">
        <v>1.7</v>
      </c>
      <c r="H182" t="n">
        <v>0</v>
      </c>
      <c r="I182" t="n">
        <v>0</v>
      </c>
      <c r="J182" t="n">
        <v>0</v>
      </c>
      <c r="K182" t="n">
        <v>0</v>
      </c>
      <c r="L182" t="n">
        <v>0</v>
      </c>
      <c r="M182" t="n">
        <v>0</v>
      </c>
      <c r="N182" t="n">
        <v>0</v>
      </c>
      <c r="O182" t="n">
        <v>0</v>
      </c>
      <c r="P182" t="n">
        <v>0</v>
      </c>
      <c r="Q182" t="n">
        <v>0</v>
      </c>
      <c r="R182" s="2" t="inlineStr"/>
    </row>
    <row r="183" ht="15" customHeight="1">
      <c r="A183" t="inlineStr">
        <is>
          <t>A 68616-2018</t>
        </is>
      </c>
      <c r="B183" s="1" t="n">
        <v>43444</v>
      </c>
      <c r="C183" s="1" t="n">
        <v>45202</v>
      </c>
      <c r="D183" t="inlineStr">
        <is>
          <t>JÄMTLANDS LÄN</t>
        </is>
      </c>
      <c r="E183" t="inlineStr">
        <is>
          <t>ÅRE</t>
        </is>
      </c>
      <c r="G183" t="n">
        <v>4.2</v>
      </c>
      <c r="H183" t="n">
        <v>0</v>
      </c>
      <c r="I183" t="n">
        <v>0</v>
      </c>
      <c r="J183" t="n">
        <v>0</v>
      </c>
      <c r="K183" t="n">
        <v>0</v>
      </c>
      <c r="L183" t="n">
        <v>0</v>
      </c>
      <c r="M183" t="n">
        <v>0</v>
      </c>
      <c r="N183" t="n">
        <v>0</v>
      </c>
      <c r="O183" t="n">
        <v>0</v>
      </c>
      <c r="P183" t="n">
        <v>0</v>
      </c>
      <c r="Q183" t="n">
        <v>0</v>
      </c>
      <c r="R183" s="2" t="inlineStr"/>
    </row>
    <row r="184" ht="15" customHeight="1">
      <c r="A184" t="inlineStr">
        <is>
          <t>A 69427-2018</t>
        </is>
      </c>
      <c r="B184" s="1" t="n">
        <v>43446</v>
      </c>
      <c r="C184" s="1" t="n">
        <v>45202</v>
      </c>
      <c r="D184" t="inlineStr">
        <is>
          <t>JÄMTLANDS LÄN</t>
        </is>
      </c>
      <c r="E184" t="inlineStr">
        <is>
          <t>ÅRE</t>
        </is>
      </c>
      <c r="G184" t="n">
        <v>0.3</v>
      </c>
      <c r="H184" t="n">
        <v>0</v>
      </c>
      <c r="I184" t="n">
        <v>0</v>
      </c>
      <c r="J184" t="n">
        <v>0</v>
      </c>
      <c r="K184" t="n">
        <v>0</v>
      </c>
      <c r="L184" t="n">
        <v>0</v>
      </c>
      <c r="M184" t="n">
        <v>0</v>
      </c>
      <c r="N184" t="n">
        <v>0</v>
      </c>
      <c r="O184" t="n">
        <v>0</v>
      </c>
      <c r="P184" t="n">
        <v>0</v>
      </c>
      <c r="Q184" t="n">
        <v>0</v>
      </c>
      <c r="R184" s="2" t="inlineStr"/>
    </row>
    <row r="185" ht="15" customHeight="1">
      <c r="A185" t="inlineStr">
        <is>
          <t>A 80-2019</t>
        </is>
      </c>
      <c r="B185" s="1" t="n">
        <v>43467</v>
      </c>
      <c r="C185" s="1" t="n">
        <v>45202</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42-2019</t>
        </is>
      </c>
      <c r="B186" s="1" t="n">
        <v>43467</v>
      </c>
      <c r="C186" s="1" t="n">
        <v>45202</v>
      </c>
      <c r="D186" t="inlineStr">
        <is>
          <t>JÄMTLANDS LÄN</t>
        </is>
      </c>
      <c r="E186" t="inlineStr">
        <is>
          <t>ÅRE</t>
        </is>
      </c>
      <c r="G186" t="n">
        <v>1.2</v>
      </c>
      <c r="H186" t="n">
        <v>0</v>
      </c>
      <c r="I186" t="n">
        <v>0</v>
      </c>
      <c r="J186" t="n">
        <v>0</v>
      </c>
      <c r="K186" t="n">
        <v>0</v>
      </c>
      <c r="L186" t="n">
        <v>0</v>
      </c>
      <c r="M186" t="n">
        <v>0</v>
      </c>
      <c r="N186" t="n">
        <v>0</v>
      </c>
      <c r="O186" t="n">
        <v>0</v>
      </c>
      <c r="P186" t="n">
        <v>0</v>
      </c>
      <c r="Q186" t="n">
        <v>0</v>
      </c>
      <c r="R186" s="2" t="inlineStr"/>
    </row>
    <row r="187" ht="15" customHeight="1">
      <c r="A187" t="inlineStr">
        <is>
          <t>A 250-2019</t>
        </is>
      </c>
      <c r="B187" s="1" t="n">
        <v>43468</v>
      </c>
      <c r="C187" s="1" t="n">
        <v>45202</v>
      </c>
      <c r="D187" t="inlineStr">
        <is>
          <t>JÄMTLANDS LÄN</t>
        </is>
      </c>
      <c r="E187" t="inlineStr">
        <is>
          <t>ÅRE</t>
        </is>
      </c>
      <c r="G187" t="n">
        <v>6.2</v>
      </c>
      <c r="H187" t="n">
        <v>0</v>
      </c>
      <c r="I187" t="n">
        <v>0</v>
      </c>
      <c r="J187" t="n">
        <v>0</v>
      </c>
      <c r="K187" t="n">
        <v>0</v>
      </c>
      <c r="L187" t="n">
        <v>0</v>
      </c>
      <c r="M187" t="n">
        <v>0</v>
      </c>
      <c r="N187" t="n">
        <v>0</v>
      </c>
      <c r="O187" t="n">
        <v>0</v>
      </c>
      <c r="P187" t="n">
        <v>0</v>
      </c>
      <c r="Q187" t="n">
        <v>0</v>
      </c>
      <c r="R187" s="2" t="inlineStr"/>
    </row>
    <row r="188" ht="15" customHeight="1">
      <c r="A188" t="inlineStr">
        <is>
          <t>A 685-2019</t>
        </is>
      </c>
      <c r="B188" s="1" t="n">
        <v>43469</v>
      </c>
      <c r="C188" s="1" t="n">
        <v>45202</v>
      </c>
      <c r="D188" t="inlineStr">
        <is>
          <t>JÄMTLANDS LÄN</t>
        </is>
      </c>
      <c r="E188" t="inlineStr">
        <is>
          <t>ÅRE</t>
        </is>
      </c>
      <c r="G188" t="n">
        <v>4.5</v>
      </c>
      <c r="H188" t="n">
        <v>0</v>
      </c>
      <c r="I188" t="n">
        <v>0</v>
      </c>
      <c r="J188" t="n">
        <v>0</v>
      </c>
      <c r="K188" t="n">
        <v>0</v>
      </c>
      <c r="L188" t="n">
        <v>0</v>
      </c>
      <c r="M188" t="n">
        <v>0</v>
      </c>
      <c r="N188" t="n">
        <v>0</v>
      </c>
      <c r="O188" t="n">
        <v>0</v>
      </c>
      <c r="P188" t="n">
        <v>0</v>
      </c>
      <c r="Q188" t="n">
        <v>0</v>
      </c>
      <c r="R188" s="2" t="inlineStr"/>
    </row>
    <row r="189" ht="15" customHeight="1">
      <c r="A189" t="inlineStr">
        <is>
          <t>A 2126-2019</t>
        </is>
      </c>
      <c r="B189" s="1" t="n">
        <v>43475</v>
      </c>
      <c r="C189" s="1" t="n">
        <v>45202</v>
      </c>
      <c r="D189" t="inlineStr">
        <is>
          <t>JÄMTLANDS LÄN</t>
        </is>
      </c>
      <c r="E189" t="inlineStr">
        <is>
          <t>ÅRE</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5914-2019</t>
        </is>
      </c>
      <c r="B190" s="1" t="n">
        <v>43490</v>
      </c>
      <c r="C190" s="1" t="n">
        <v>45202</v>
      </c>
      <c r="D190" t="inlineStr">
        <is>
          <t>JÄMTLANDS LÄN</t>
        </is>
      </c>
      <c r="E190" t="inlineStr">
        <is>
          <t>ÅRE</t>
        </is>
      </c>
      <c r="G190" t="n">
        <v>3.5</v>
      </c>
      <c r="H190" t="n">
        <v>0</v>
      </c>
      <c r="I190" t="n">
        <v>0</v>
      </c>
      <c r="J190" t="n">
        <v>0</v>
      </c>
      <c r="K190" t="n">
        <v>0</v>
      </c>
      <c r="L190" t="n">
        <v>0</v>
      </c>
      <c r="M190" t="n">
        <v>0</v>
      </c>
      <c r="N190" t="n">
        <v>0</v>
      </c>
      <c r="O190" t="n">
        <v>0</v>
      </c>
      <c r="P190" t="n">
        <v>0</v>
      </c>
      <c r="Q190" t="n">
        <v>0</v>
      </c>
      <c r="R190" s="2" t="inlineStr"/>
    </row>
    <row r="191" ht="15" customHeight="1">
      <c r="A191" t="inlineStr">
        <is>
          <t>A 5930-2019</t>
        </is>
      </c>
      <c r="B191" s="1" t="n">
        <v>43490</v>
      </c>
      <c r="C191" s="1" t="n">
        <v>45202</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5929-2019</t>
        </is>
      </c>
      <c r="B192" s="1" t="n">
        <v>43490</v>
      </c>
      <c r="C192" s="1" t="n">
        <v>45202</v>
      </c>
      <c r="D192" t="inlineStr">
        <is>
          <t>JÄMTLANDS LÄN</t>
        </is>
      </c>
      <c r="E192" t="inlineStr">
        <is>
          <t>ÅRE</t>
        </is>
      </c>
      <c r="G192" t="n">
        <v>0.8</v>
      </c>
      <c r="H192" t="n">
        <v>0</v>
      </c>
      <c r="I192" t="n">
        <v>0</v>
      </c>
      <c r="J192" t="n">
        <v>0</v>
      </c>
      <c r="K192" t="n">
        <v>0</v>
      </c>
      <c r="L192" t="n">
        <v>0</v>
      </c>
      <c r="M192" t="n">
        <v>0</v>
      </c>
      <c r="N192" t="n">
        <v>0</v>
      </c>
      <c r="O192" t="n">
        <v>0</v>
      </c>
      <c r="P192" t="n">
        <v>0</v>
      </c>
      <c r="Q192" t="n">
        <v>0</v>
      </c>
      <c r="R192" s="2" t="inlineStr"/>
    </row>
    <row r="193" ht="15" customHeight="1">
      <c r="A193" t="inlineStr">
        <is>
          <t>A 7088-2019</t>
        </is>
      </c>
      <c r="B193" s="1" t="n">
        <v>43496</v>
      </c>
      <c r="C193" s="1" t="n">
        <v>45202</v>
      </c>
      <c r="D193" t="inlineStr">
        <is>
          <t>JÄMTLANDS LÄN</t>
        </is>
      </c>
      <c r="E193" t="inlineStr">
        <is>
          <t>ÅRE</t>
        </is>
      </c>
      <c r="G193" t="n">
        <v>4.7</v>
      </c>
      <c r="H193" t="n">
        <v>0</v>
      </c>
      <c r="I193" t="n">
        <v>0</v>
      </c>
      <c r="J193" t="n">
        <v>0</v>
      </c>
      <c r="K193" t="n">
        <v>0</v>
      </c>
      <c r="L193" t="n">
        <v>0</v>
      </c>
      <c r="M193" t="n">
        <v>0</v>
      </c>
      <c r="N193" t="n">
        <v>0</v>
      </c>
      <c r="O193" t="n">
        <v>0</v>
      </c>
      <c r="P193" t="n">
        <v>0</v>
      </c>
      <c r="Q193" t="n">
        <v>0</v>
      </c>
      <c r="R193" s="2" t="inlineStr"/>
    </row>
    <row r="194" ht="15" customHeight="1">
      <c r="A194" t="inlineStr">
        <is>
          <t>A 8006-2019</t>
        </is>
      </c>
      <c r="B194" s="1" t="n">
        <v>43501</v>
      </c>
      <c r="C194" s="1" t="n">
        <v>45202</v>
      </c>
      <c r="D194" t="inlineStr">
        <is>
          <t>JÄMTLANDS LÄN</t>
        </is>
      </c>
      <c r="E194" t="inlineStr">
        <is>
          <t>ÅRE</t>
        </is>
      </c>
      <c r="G194" t="n">
        <v>23.8</v>
      </c>
      <c r="H194" t="n">
        <v>0</v>
      </c>
      <c r="I194" t="n">
        <v>0</v>
      </c>
      <c r="J194" t="n">
        <v>0</v>
      </c>
      <c r="K194" t="n">
        <v>0</v>
      </c>
      <c r="L194" t="n">
        <v>0</v>
      </c>
      <c r="M194" t="n">
        <v>0</v>
      </c>
      <c r="N194" t="n">
        <v>0</v>
      </c>
      <c r="O194" t="n">
        <v>0</v>
      </c>
      <c r="P194" t="n">
        <v>0</v>
      </c>
      <c r="Q194" t="n">
        <v>0</v>
      </c>
      <c r="R194" s="2" t="inlineStr"/>
    </row>
    <row r="195" ht="15" customHeight="1">
      <c r="A195" t="inlineStr">
        <is>
          <t>A 8001-2019</t>
        </is>
      </c>
      <c r="B195" s="1" t="n">
        <v>43501</v>
      </c>
      <c r="C195" s="1" t="n">
        <v>45202</v>
      </c>
      <c r="D195" t="inlineStr">
        <is>
          <t>JÄMTLANDS LÄN</t>
        </is>
      </c>
      <c r="E195" t="inlineStr">
        <is>
          <t>ÅRE</t>
        </is>
      </c>
      <c r="G195" t="n">
        <v>20.3</v>
      </c>
      <c r="H195" t="n">
        <v>0</v>
      </c>
      <c r="I195" t="n">
        <v>0</v>
      </c>
      <c r="J195" t="n">
        <v>0</v>
      </c>
      <c r="K195" t="n">
        <v>0</v>
      </c>
      <c r="L195" t="n">
        <v>0</v>
      </c>
      <c r="M195" t="n">
        <v>0</v>
      </c>
      <c r="N195" t="n">
        <v>0</v>
      </c>
      <c r="O195" t="n">
        <v>0</v>
      </c>
      <c r="P195" t="n">
        <v>0</v>
      </c>
      <c r="Q195" t="n">
        <v>0</v>
      </c>
      <c r="R195" s="2" t="inlineStr"/>
    </row>
    <row r="196" ht="15" customHeight="1">
      <c r="A196" t="inlineStr">
        <is>
          <t>A 8930-2019</t>
        </is>
      </c>
      <c r="B196" s="1" t="n">
        <v>43503</v>
      </c>
      <c r="C196" s="1" t="n">
        <v>45202</v>
      </c>
      <c r="D196" t="inlineStr">
        <is>
          <t>JÄMTLANDS LÄN</t>
        </is>
      </c>
      <c r="E196" t="inlineStr">
        <is>
          <t>ÅRE</t>
        </is>
      </c>
      <c r="G196" t="n">
        <v>1.7</v>
      </c>
      <c r="H196" t="n">
        <v>0</v>
      </c>
      <c r="I196" t="n">
        <v>0</v>
      </c>
      <c r="J196" t="n">
        <v>0</v>
      </c>
      <c r="K196" t="n">
        <v>0</v>
      </c>
      <c r="L196" t="n">
        <v>0</v>
      </c>
      <c r="M196" t="n">
        <v>0</v>
      </c>
      <c r="N196" t="n">
        <v>0</v>
      </c>
      <c r="O196" t="n">
        <v>0</v>
      </c>
      <c r="P196" t="n">
        <v>0</v>
      </c>
      <c r="Q196" t="n">
        <v>0</v>
      </c>
      <c r="R196" s="2" t="inlineStr"/>
    </row>
    <row r="197" ht="15" customHeight="1">
      <c r="A197" t="inlineStr">
        <is>
          <t>A 8931-2019</t>
        </is>
      </c>
      <c r="B197" s="1" t="n">
        <v>43503</v>
      </c>
      <c r="C197" s="1" t="n">
        <v>45202</v>
      </c>
      <c r="D197" t="inlineStr">
        <is>
          <t>JÄMTLANDS LÄN</t>
        </is>
      </c>
      <c r="E197" t="inlineStr">
        <is>
          <t>ÅRE</t>
        </is>
      </c>
      <c r="G197" t="n">
        <v>7.7</v>
      </c>
      <c r="H197" t="n">
        <v>0</v>
      </c>
      <c r="I197" t="n">
        <v>0</v>
      </c>
      <c r="J197" t="n">
        <v>0</v>
      </c>
      <c r="K197" t="n">
        <v>0</v>
      </c>
      <c r="L197" t="n">
        <v>0</v>
      </c>
      <c r="M197" t="n">
        <v>0</v>
      </c>
      <c r="N197" t="n">
        <v>0</v>
      </c>
      <c r="O197" t="n">
        <v>0</v>
      </c>
      <c r="P197" t="n">
        <v>0</v>
      </c>
      <c r="Q197" t="n">
        <v>0</v>
      </c>
      <c r="R197" s="2" t="inlineStr"/>
    </row>
    <row r="198" ht="15" customHeight="1">
      <c r="A198" t="inlineStr">
        <is>
          <t>A 10106-2019</t>
        </is>
      </c>
      <c r="B198" s="1" t="n">
        <v>43510</v>
      </c>
      <c r="C198" s="1" t="n">
        <v>45202</v>
      </c>
      <c r="D198" t="inlineStr">
        <is>
          <t>JÄMTLANDS LÄN</t>
        </is>
      </c>
      <c r="E198" t="inlineStr">
        <is>
          <t>ÅRE</t>
        </is>
      </c>
      <c r="G198" t="n">
        <v>0.9</v>
      </c>
      <c r="H198" t="n">
        <v>0</v>
      </c>
      <c r="I198" t="n">
        <v>0</v>
      </c>
      <c r="J198" t="n">
        <v>0</v>
      </c>
      <c r="K198" t="n">
        <v>0</v>
      </c>
      <c r="L198" t="n">
        <v>0</v>
      </c>
      <c r="M198" t="n">
        <v>0</v>
      </c>
      <c r="N198" t="n">
        <v>0</v>
      </c>
      <c r="O198" t="n">
        <v>0</v>
      </c>
      <c r="P198" t="n">
        <v>0</v>
      </c>
      <c r="Q198" t="n">
        <v>0</v>
      </c>
      <c r="R198" s="2" t="inlineStr"/>
    </row>
    <row r="199" ht="15" customHeight="1">
      <c r="A199" t="inlineStr">
        <is>
          <t>A 10111-2019</t>
        </is>
      </c>
      <c r="B199" s="1" t="n">
        <v>43510</v>
      </c>
      <c r="C199" s="1" t="n">
        <v>45202</v>
      </c>
      <c r="D199" t="inlineStr">
        <is>
          <t>JÄMTLANDS LÄN</t>
        </is>
      </c>
      <c r="E199" t="inlineStr">
        <is>
          <t>ÅRE</t>
        </is>
      </c>
      <c r="G199" t="n">
        <v>2.8</v>
      </c>
      <c r="H199" t="n">
        <v>0</v>
      </c>
      <c r="I199" t="n">
        <v>0</v>
      </c>
      <c r="J199" t="n">
        <v>0</v>
      </c>
      <c r="K199" t="n">
        <v>0</v>
      </c>
      <c r="L199" t="n">
        <v>0</v>
      </c>
      <c r="M199" t="n">
        <v>0</v>
      </c>
      <c r="N199" t="n">
        <v>0</v>
      </c>
      <c r="O199" t="n">
        <v>0</v>
      </c>
      <c r="P199" t="n">
        <v>0</v>
      </c>
      <c r="Q199" t="n">
        <v>0</v>
      </c>
      <c r="R199" s="2" t="inlineStr"/>
    </row>
    <row r="200" ht="15" customHeight="1">
      <c r="A200" t="inlineStr">
        <is>
          <t>A 11983-2019</t>
        </is>
      </c>
      <c r="B200" s="1" t="n">
        <v>43521</v>
      </c>
      <c r="C200" s="1" t="n">
        <v>45202</v>
      </c>
      <c r="D200" t="inlineStr">
        <is>
          <t>JÄMTLANDS LÄN</t>
        </is>
      </c>
      <c r="E200" t="inlineStr">
        <is>
          <t>ÅRE</t>
        </is>
      </c>
      <c r="G200" t="n">
        <v>1.5</v>
      </c>
      <c r="H200" t="n">
        <v>0</v>
      </c>
      <c r="I200" t="n">
        <v>0</v>
      </c>
      <c r="J200" t="n">
        <v>0</v>
      </c>
      <c r="K200" t="n">
        <v>0</v>
      </c>
      <c r="L200" t="n">
        <v>0</v>
      </c>
      <c r="M200" t="n">
        <v>0</v>
      </c>
      <c r="N200" t="n">
        <v>0</v>
      </c>
      <c r="O200" t="n">
        <v>0</v>
      </c>
      <c r="P200" t="n">
        <v>0</v>
      </c>
      <c r="Q200" t="n">
        <v>0</v>
      </c>
      <c r="R200" s="2" t="inlineStr"/>
    </row>
    <row r="201" ht="15" customHeight="1">
      <c r="A201" t="inlineStr">
        <is>
          <t>A 14394-2019</t>
        </is>
      </c>
      <c r="B201" s="1" t="n">
        <v>43536</v>
      </c>
      <c r="C201" s="1" t="n">
        <v>45202</v>
      </c>
      <c r="D201" t="inlineStr">
        <is>
          <t>JÄMTLANDS LÄN</t>
        </is>
      </c>
      <c r="E201" t="inlineStr">
        <is>
          <t>ÅRE</t>
        </is>
      </c>
      <c r="G201" t="n">
        <v>0.5</v>
      </c>
      <c r="H201" t="n">
        <v>0</v>
      </c>
      <c r="I201" t="n">
        <v>0</v>
      </c>
      <c r="J201" t="n">
        <v>0</v>
      </c>
      <c r="K201" t="n">
        <v>0</v>
      </c>
      <c r="L201" t="n">
        <v>0</v>
      </c>
      <c r="M201" t="n">
        <v>0</v>
      </c>
      <c r="N201" t="n">
        <v>0</v>
      </c>
      <c r="O201" t="n">
        <v>0</v>
      </c>
      <c r="P201" t="n">
        <v>0</v>
      </c>
      <c r="Q201" t="n">
        <v>0</v>
      </c>
      <c r="R201" s="2" t="inlineStr"/>
    </row>
    <row r="202" ht="15" customHeight="1">
      <c r="A202" t="inlineStr">
        <is>
          <t>A 17404-2019</t>
        </is>
      </c>
      <c r="B202" s="1" t="n">
        <v>43552</v>
      </c>
      <c r="C202" s="1" t="n">
        <v>45202</v>
      </c>
      <c r="D202" t="inlineStr">
        <is>
          <t>JÄMTLANDS LÄN</t>
        </is>
      </c>
      <c r="E202" t="inlineStr">
        <is>
          <t>ÅRE</t>
        </is>
      </c>
      <c r="G202" t="n">
        <v>2.2</v>
      </c>
      <c r="H202" t="n">
        <v>0</v>
      </c>
      <c r="I202" t="n">
        <v>0</v>
      </c>
      <c r="J202" t="n">
        <v>0</v>
      </c>
      <c r="K202" t="n">
        <v>0</v>
      </c>
      <c r="L202" t="n">
        <v>0</v>
      </c>
      <c r="M202" t="n">
        <v>0</v>
      </c>
      <c r="N202" t="n">
        <v>0</v>
      </c>
      <c r="O202" t="n">
        <v>0</v>
      </c>
      <c r="P202" t="n">
        <v>0</v>
      </c>
      <c r="Q202" t="n">
        <v>0</v>
      </c>
      <c r="R202" s="2" t="inlineStr"/>
    </row>
    <row r="203" ht="15" customHeight="1">
      <c r="A203" t="inlineStr">
        <is>
          <t>A 21532-2019</t>
        </is>
      </c>
      <c r="B203" s="1" t="n">
        <v>43580</v>
      </c>
      <c r="C203" s="1" t="n">
        <v>45202</v>
      </c>
      <c r="D203" t="inlineStr">
        <is>
          <t>JÄMTLANDS LÄN</t>
        </is>
      </c>
      <c r="E203" t="inlineStr">
        <is>
          <t>ÅRE</t>
        </is>
      </c>
      <c r="G203" t="n">
        <v>20.1</v>
      </c>
      <c r="H203" t="n">
        <v>0</v>
      </c>
      <c r="I203" t="n">
        <v>0</v>
      </c>
      <c r="J203" t="n">
        <v>0</v>
      </c>
      <c r="K203" t="n">
        <v>0</v>
      </c>
      <c r="L203" t="n">
        <v>0</v>
      </c>
      <c r="M203" t="n">
        <v>0</v>
      </c>
      <c r="N203" t="n">
        <v>0</v>
      </c>
      <c r="O203" t="n">
        <v>0</v>
      </c>
      <c r="P203" t="n">
        <v>0</v>
      </c>
      <c r="Q203" t="n">
        <v>0</v>
      </c>
      <c r="R203" s="2" t="inlineStr"/>
    </row>
    <row r="204" ht="15" customHeight="1">
      <c r="A204" t="inlineStr">
        <is>
          <t>A 21883-2019</t>
        </is>
      </c>
      <c r="B204" s="1" t="n">
        <v>43584</v>
      </c>
      <c r="C204" s="1" t="n">
        <v>45202</v>
      </c>
      <c r="D204" t="inlineStr">
        <is>
          <t>JÄMTLANDS LÄN</t>
        </is>
      </c>
      <c r="E204" t="inlineStr">
        <is>
          <t>ÅRE</t>
        </is>
      </c>
      <c r="G204" t="n">
        <v>2.6</v>
      </c>
      <c r="H204" t="n">
        <v>0</v>
      </c>
      <c r="I204" t="n">
        <v>0</v>
      </c>
      <c r="J204" t="n">
        <v>0</v>
      </c>
      <c r="K204" t="n">
        <v>0</v>
      </c>
      <c r="L204" t="n">
        <v>0</v>
      </c>
      <c r="M204" t="n">
        <v>0</v>
      </c>
      <c r="N204" t="n">
        <v>0</v>
      </c>
      <c r="O204" t="n">
        <v>0</v>
      </c>
      <c r="P204" t="n">
        <v>0</v>
      </c>
      <c r="Q204" t="n">
        <v>0</v>
      </c>
      <c r="R204" s="2" t="inlineStr"/>
    </row>
    <row r="205" ht="15" customHeight="1">
      <c r="A205" t="inlineStr">
        <is>
          <t>A 22558-2019</t>
        </is>
      </c>
      <c r="B205" s="1" t="n">
        <v>43587</v>
      </c>
      <c r="C205" s="1" t="n">
        <v>45202</v>
      </c>
      <c r="D205" t="inlineStr">
        <is>
          <t>JÄMTLANDS LÄN</t>
        </is>
      </c>
      <c r="E205" t="inlineStr">
        <is>
          <t>ÅRE</t>
        </is>
      </c>
      <c r="G205" t="n">
        <v>79.09999999999999</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45202</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45202</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45202</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45202</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45202</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45202</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45202</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45202</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45202</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45202</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45202</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45202</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45202</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45202</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45202</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45202</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45202</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45202</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45202</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45202</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45202</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45202</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45202</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45202</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45202</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45202</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45202</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45202</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45202</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45202</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45202</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45202</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45202</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45202</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45202</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45202</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45202</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45202</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45202</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45202</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45202</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45202</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45202</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45202</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45202</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45202</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45202</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45202</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45202</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45202</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45202</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45202</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45202</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45202</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45202</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45202</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45202</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45202</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45202</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45202</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45202</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45202</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45202</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45202</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45202</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45202</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45202</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45202</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45202</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45202</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45202</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45202</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45202</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45202</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45202</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45202</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45202</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45202</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45202</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45202</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45202</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45202</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45202</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45202</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45202</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45202</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45202</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45202</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45202</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45202</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45202</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45202</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45202</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45202</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45202</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45202</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45202</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45202</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45202</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45202</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45202</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45202</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45202</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45202</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45202</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45202</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45202</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45202</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45202</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45202</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45202</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45202</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45202</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45202</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45202</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45202</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45202</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45202</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45202</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45202</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45202</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45202</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45202</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45202</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45202</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45202</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45202</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45202</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45202</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45202</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45202</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45202</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45202</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45202</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45202</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45202</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45202</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45202</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45202</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45202</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45202</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45202</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45202</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45202</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45202</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45202</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45202</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45202</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45202</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45202</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45202</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45202</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45202</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45202</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45202</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45202</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45202</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45202</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45202</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45202</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45202</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45202</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45202</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45202</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45202</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45202</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45202</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45202</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45202</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45202</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45202</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45202</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45202</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45202</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45202</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45202</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45202</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45202</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45202</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45202</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45202</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45202</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45202</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45202</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45202</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45202</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45202</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45202</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45202</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45202</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45202</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45202</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45202</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45202</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45202</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45202</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45202</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45202</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45202</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45202</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45202</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45202</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45202</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45202</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45202</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45202</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45202</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45202</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45202</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45202</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45202</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45202</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45202</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45202</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45202</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45202</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45202</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45202</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45202</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45202</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45202</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45202</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45202</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45202</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45202</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45202</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45202</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45202</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45202</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45202</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45202</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45202</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45202</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45202</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45202</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45202</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45202</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45202</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45202</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45202</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45202</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45202</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45202</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45202</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45202</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45202</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45202</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45202</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45202</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45202</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45202</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45202</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45202</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45202</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45202</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45202</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45202</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45202</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45202</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45202</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45202</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45202</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45202</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45202</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45202</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45202</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45202</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45202</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45202</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45202</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45202</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45202</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45202</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45202</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45202</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45202</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45202</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45202</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45202</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45202</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45202</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45202</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45202</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45202</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45202</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45202</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45202</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45202</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45202</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45202</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45202</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45202</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45202</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45202</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45202</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45202</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45202</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45202</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45202</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45202</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45202</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45202</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45202</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45202</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45202</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45202</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45202</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45202</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45202</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45202</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45202</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45202</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45202</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45202</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45202</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45202</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45202</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45202</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45202</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45202</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45202</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45202</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45202</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45202</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45202</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45202</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45202</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45202</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45202</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45202</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45202</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45202</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45202</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45202</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45202</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45202</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45202</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45202</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45202</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45202</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45202</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45202</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45202</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45202</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45202</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45202</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45202</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45202</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45202</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45202</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45202</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45202</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45202</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45202</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45202</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45202</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45202</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45202</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45202</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45202</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45202</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45202</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45202</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45202</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45202</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45202</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45202</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45202</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45202</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45202</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45202</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45202</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45202</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45202</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45202</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45202</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45202</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45202</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45202</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45202</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45202</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45202</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45202</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45202</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2023-10-03T05:59:45Z</dcterms:created>
  <dcterms:modified xmlns:dcterms="http://purl.org/dc/terms/" xmlns:xsi="http://www.w3.org/2001/XMLSchema-instance" xsi:type="dcterms:W3CDTF">2023-10-03T05:59:45Z</dcterms:modified>
</cp:coreProperties>
</file>