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45231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45231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45231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45231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45231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45231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45231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45231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45231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45231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45231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45231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45231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45231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45231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45231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45231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45231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45231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45231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45231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45231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45231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45231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45231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45231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71465-2018</t>
        </is>
      </c>
      <c r="B28" s="1" t="n">
        <v>43451</v>
      </c>
      <c r="C28" s="1" t="n">
        <v>45231</v>
      </c>
      <c r="D28" t="inlineStr">
        <is>
          <t>BLEKINGE LÄN</t>
        </is>
      </c>
      <c r="E28" t="inlineStr">
        <is>
          <t>KARLSKRONA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Grönhjon</t>
        </is>
      </c>
      <c r="S28">
        <f>HYPERLINK("https://klasma.github.io/Logging_1080/artfynd/A 71465-2018 artfynd.xlsx", "A 71465-2018")</f>
        <v/>
      </c>
      <c r="T28">
        <f>HYPERLINK("https://klasma.github.io/Logging_1080/kartor/A 71465-2018 karta.png", "A 71465-2018")</f>
        <v/>
      </c>
      <c r="V28">
        <f>HYPERLINK("https://klasma.github.io/Logging_1080/klagomål/A 71465-2018 FSC-klagomål.docx", "A 71465-2018")</f>
        <v/>
      </c>
      <c r="W28">
        <f>HYPERLINK("https://klasma.github.io/Logging_1080/klagomålsmail/A 71465-2018 FSC-klagomål mail.docx", "A 71465-2018")</f>
        <v/>
      </c>
      <c r="X28">
        <f>HYPERLINK("https://klasma.github.io/Logging_1080/tillsyn/A 71465-2018 tillsynsbegäran.docx", "A 71465-2018")</f>
        <v/>
      </c>
      <c r="Y28">
        <f>HYPERLINK("https://klasma.github.io/Logging_1080/tillsynsmail/A 71465-2018 tillsynsbegäran mail.docx", "A 71465-2018")</f>
        <v/>
      </c>
    </row>
    <row r="29" ht="15" customHeight="1">
      <c r="A29" t="inlineStr">
        <is>
          <t>A 8587-2019</t>
        </is>
      </c>
      <c r="B29" s="1" t="n">
        <v>43502</v>
      </c>
      <c r="C29" s="1" t="n">
        <v>45231</v>
      </c>
      <c r="D29" t="inlineStr">
        <is>
          <t>BLEKINGE LÄN</t>
        </is>
      </c>
      <c r="E29" t="inlineStr">
        <is>
          <t>RONNEBY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Flodkräfta</t>
        </is>
      </c>
      <c r="S29">
        <f>HYPERLINK("https://klasma.github.io/Logging_1081/artfynd/A 8587-2019 artfynd.xlsx", "A 8587-2019")</f>
        <v/>
      </c>
      <c r="T29">
        <f>HYPERLINK("https://klasma.github.io/Logging_1081/kartor/A 8587-2019 karta.png", "A 8587-2019")</f>
        <v/>
      </c>
      <c r="V29">
        <f>HYPERLINK("https://klasma.github.io/Logging_1081/klagomål/A 8587-2019 FSC-klagomål.docx", "A 8587-2019")</f>
        <v/>
      </c>
      <c r="W29">
        <f>HYPERLINK("https://klasma.github.io/Logging_1081/klagomålsmail/A 8587-2019 FSC-klagomål mail.docx", "A 8587-2019")</f>
        <v/>
      </c>
      <c r="X29">
        <f>HYPERLINK("https://klasma.github.io/Logging_1081/tillsyn/A 8587-2019 tillsynsbegäran.docx", "A 8587-2019")</f>
        <v/>
      </c>
      <c r="Y29">
        <f>HYPERLINK("https://klasma.github.io/Logging_1081/tillsynsmail/A 8587-2019 tillsynsbegäran mail.docx", "A 8587-2019")</f>
        <v/>
      </c>
    </row>
    <row r="30" ht="15" customHeight="1">
      <c r="A30" t="inlineStr">
        <is>
          <t>A 10579-2019</t>
        </is>
      </c>
      <c r="B30" s="1" t="n">
        <v>43514</v>
      </c>
      <c r="C30" s="1" t="n">
        <v>45231</v>
      </c>
      <c r="D30" t="inlineStr">
        <is>
          <t>BLEKINGE LÄN</t>
        </is>
      </c>
      <c r="E30" t="inlineStr">
        <is>
          <t>RONNEBY</t>
        </is>
      </c>
      <c r="G30" t="n">
        <v>5.9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Skogsbräsma</t>
        </is>
      </c>
      <c r="S30">
        <f>HYPERLINK("https://klasma.github.io/Logging_1081/artfynd/A 10579-2019 artfynd.xlsx", "A 10579-2019")</f>
        <v/>
      </c>
      <c r="T30">
        <f>HYPERLINK("https://klasma.github.io/Logging_1081/kartor/A 10579-2019 karta.png", "A 10579-2019")</f>
        <v/>
      </c>
      <c r="V30">
        <f>HYPERLINK("https://klasma.github.io/Logging_1081/klagomål/A 10579-2019 FSC-klagomål.docx", "A 10579-2019")</f>
        <v/>
      </c>
      <c r="W30">
        <f>HYPERLINK("https://klasma.github.io/Logging_1081/klagomålsmail/A 10579-2019 FSC-klagomål mail.docx", "A 10579-2019")</f>
        <v/>
      </c>
      <c r="X30">
        <f>HYPERLINK("https://klasma.github.io/Logging_1081/tillsyn/A 10579-2019 tillsynsbegäran.docx", "A 10579-2019")</f>
        <v/>
      </c>
      <c r="Y30">
        <f>HYPERLINK("https://klasma.github.io/Logging_1081/tillsynsmail/A 10579-2019 tillsynsbegäran mail.docx", "A 10579-2019")</f>
        <v/>
      </c>
    </row>
    <row r="31" ht="15" customHeight="1">
      <c r="A31" t="inlineStr">
        <is>
          <t>A 13391-2019</t>
        </is>
      </c>
      <c r="B31" s="1" t="n">
        <v>43529</v>
      </c>
      <c r="C31" s="1" t="n">
        <v>45231</v>
      </c>
      <c r="D31" t="inlineStr">
        <is>
          <t>BLEKINGE LÄN</t>
        </is>
      </c>
      <c r="E31" t="inlineStr">
        <is>
          <t>RONNEBY</t>
        </is>
      </c>
      <c r="F31" t="inlineStr">
        <is>
          <t>Övriga Aktiebolag</t>
        </is>
      </c>
      <c r="G31" t="n">
        <v>3.2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HYPERLINK("https://klasma.github.io/Logging_1081/artfynd/A 13391-2019 artfynd.xlsx", "A 13391-2019")</f>
        <v/>
      </c>
      <c r="T31">
        <f>HYPERLINK("https://klasma.github.io/Logging_1081/kartor/A 13391-2019 karta.png", "A 13391-2019")</f>
        <v/>
      </c>
      <c r="V31">
        <f>HYPERLINK("https://klasma.github.io/Logging_1081/klagomål/A 13391-2019 FSC-klagomål.docx", "A 13391-2019")</f>
        <v/>
      </c>
      <c r="W31">
        <f>HYPERLINK("https://klasma.github.io/Logging_1081/klagomålsmail/A 13391-2019 FSC-klagomål mail.docx", "A 13391-2019")</f>
        <v/>
      </c>
      <c r="X31">
        <f>HYPERLINK("https://klasma.github.io/Logging_1081/tillsyn/A 13391-2019 tillsynsbegäran.docx", "A 13391-2019")</f>
        <v/>
      </c>
      <c r="Y31">
        <f>HYPERLINK("https://klasma.github.io/Logging_1081/tillsynsmail/A 13391-2019 tillsynsbegäran mail.docx", "A 13391-2019")</f>
        <v/>
      </c>
    </row>
    <row r="32" ht="15" customHeight="1">
      <c r="A32" t="inlineStr">
        <is>
          <t>A 25939-2019</t>
        </is>
      </c>
      <c r="B32" s="1" t="n">
        <v>43608</v>
      </c>
      <c r="C32" s="1" t="n">
        <v>45231</v>
      </c>
      <c r="D32" t="inlineStr">
        <is>
          <t>BLEKINGE LÄN</t>
        </is>
      </c>
      <c r="E32" t="inlineStr">
        <is>
          <t>RONNEBY</t>
        </is>
      </c>
      <c r="G32" t="n">
        <v>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HYPERLINK("https://klasma.github.io/Logging_1081/artfynd/A 25939-2019 artfynd.xlsx", "A 25939-2019")</f>
        <v/>
      </c>
      <c r="T32">
        <f>HYPERLINK("https://klasma.github.io/Logging_1081/kartor/A 25939-2019 karta.png", "A 25939-2019")</f>
        <v/>
      </c>
      <c r="V32">
        <f>HYPERLINK("https://klasma.github.io/Logging_1081/klagomål/A 25939-2019 FSC-klagomål.docx", "A 25939-2019")</f>
        <v/>
      </c>
      <c r="W32">
        <f>HYPERLINK("https://klasma.github.io/Logging_1081/klagomålsmail/A 25939-2019 FSC-klagomål mail.docx", "A 25939-2019")</f>
        <v/>
      </c>
      <c r="X32">
        <f>HYPERLINK("https://klasma.github.io/Logging_1081/tillsyn/A 25939-2019 tillsynsbegäran.docx", "A 25939-2019")</f>
        <v/>
      </c>
      <c r="Y32">
        <f>HYPERLINK("https://klasma.github.io/Logging_1081/tillsynsmail/A 25939-2019 tillsynsbegäran mail.docx", "A 25939-2019")</f>
        <v/>
      </c>
    </row>
    <row r="33" ht="15" customHeight="1">
      <c r="A33" t="inlineStr">
        <is>
          <t>A 31451-2019</t>
        </is>
      </c>
      <c r="B33" s="1" t="n">
        <v>43640</v>
      </c>
      <c r="C33" s="1" t="n">
        <v>45231</v>
      </c>
      <c r="D33" t="inlineStr">
        <is>
          <t>BLEKINGE LÄN</t>
        </is>
      </c>
      <c r="E33" t="inlineStr">
        <is>
          <t>RONNEBY</t>
        </is>
      </c>
      <c r="G33" t="n">
        <v>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Skarptandad barkborre</t>
        </is>
      </c>
      <c r="S33">
        <f>HYPERLINK("https://klasma.github.io/Logging_1081/artfynd/A 31451-2019 artfynd.xlsx", "A 31451-2019")</f>
        <v/>
      </c>
      <c r="T33">
        <f>HYPERLINK("https://klasma.github.io/Logging_1081/kartor/A 31451-2019 karta.png", "A 31451-2019")</f>
        <v/>
      </c>
      <c r="V33">
        <f>HYPERLINK("https://klasma.github.io/Logging_1081/klagomål/A 31451-2019 FSC-klagomål.docx", "A 31451-2019")</f>
        <v/>
      </c>
      <c r="W33">
        <f>HYPERLINK("https://klasma.github.io/Logging_1081/klagomålsmail/A 31451-2019 FSC-klagomål mail.docx", "A 31451-2019")</f>
        <v/>
      </c>
      <c r="X33">
        <f>HYPERLINK("https://klasma.github.io/Logging_1081/tillsyn/A 31451-2019 tillsynsbegäran.docx", "A 31451-2019")</f>
        <v/>
      </c>
      <c r="Y33">
        <f>HYPERLINK("https://klasma.github.io/Logging_1081/tillsynsmail/A 31451-2019 tillsynsbegäran mail.docx", "A 31451-2019")</f>
        <v/>
      </c>
    </row>
    <row r="34" ht="15" customHeight="1">
      <c r="A34" t="inlineStr">
        <is>
          <t>A 45100-2019</t>
        </is>
      </c>
      <c r="B34" s="1" t="n">
        <v>43713</v>
      </c>
      <c r="C34" s="1" t="n">
        <v>45231</v>
      </c>
      <c r="D34" t="inlineStr">
        <is>
          <t>BLEKINGE LÄN</t>
        </is>
      </c>
      <c r="E34" t="inlineStr">
        <is>
          <t>OLOFSTRÖM</t>
        </is>
      </c>
      <c r="G34" t="n">
        <v>1.8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Mandelriska</t>
        </is>
      </c>
      <c r="S34">
        <f>HYPERLINK("https://klasma.github.io/Logging_1060/artfynd/A 45100-2019 artfynd.xlsx", "A 45100-2019")</f>
        <v/>
      </c>
      <c r="T34">
        <f>HYPERLINK("https://klasma.github.io/Logging_1060/kartor/A 45100-2019 karta.png", "A 45100-2019")</f>
        <v/>
      </c>
      <c r="V34">
        <f>HYPERLINK("https://klasma.github.io/Logging_1060/klagomål/A 45100-2019 FSC-klagomål.docx", "A 45100-2019")</f>
        <v/>
      </c>
      <c r="W34">
        <f>HYPERLINK("https://klasma.github.io/Logging_1060/klagomålsmail/A 45100-2019 FSC-klagomål mail.docx", "A 45100-2019")</f>
        <v/>
      </c>
      <c r="X34">
        <f>HYPERLINK("https://klasma.github.io/Logging_1060/tillsyn/A 45100-2019 tillsynsbegäran.docx", "A 45100-2019")</f>
        <v/>
      </c>
      <c r="Y34">
        <f>HYPERLINK("https://klasma.github.io/Logging_1060/tillsynsmail/A 45100-2019 tillsynsbegäran mail.docx", "A 45100-2019")</f>
        <v/>
      </c>
    </row>
    <row r="35" ht="15" customHeight="1">
      <c r="A35" t="inlineStr">
        <is>
          <t>A 50855-2019</t>
        </is>
      </c>
      <c r="B35" s="1" t="n">
        <v>43738</v>
      </c>
      <c r="C35" s="1" t="n">
        <v>45231</v>
      </c>
      <c r="D35" t="inlineStr">
        <is>
          <t>BLEKINGE LÄN</t>
        </is>
      </c>
      <c r="E35" t="inlineStr">
        <is>
          <t>OLOFSTRÖM</t>
        </is>
      </c>
      <c r="G35" t="n">
        <v>4.6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Jättesvampmal</t>
        </is>
      </c>
      <c r="S35">
        <f>HYPERLINK("https://klasma.github.io/Logging_1060/artfynd/A 50855-2019 artfynd.xlsx", "A 50855-2019")</f>
        <v/>
      </c>
      <c r="T35">
        <f>HYPERLINK("https://klasma.github.io/Logging_1060/kartor/A 50855-2019 karta.png", "A 50855-2019")</f>
        <v/>
      </c>
      <c r="V35">
        <f>HYPERLINK("https://klasma.github.io/Logging_1060/klagomål/A 50855-2019 FSC-klagomål.docx", "A 50855-2019")</f>
        <v/>
      </c>
      <c r="W35">
        <f>HYPERLINK("https://klasma.github.io/Logging_1060/klagomålsmail/A 50855-2019 FSC-klagomål mail.docx", "A 50855-2019")</f>
        <v/>
      </c>
      <c r="X35">
        <f>HYPERLINK("https://klasma.github.io/Logging_1060/tillsyn/A 50855-2019 tillsynsbegäran.docx", "A 50855-2019")</f>
        <v/>
      </c>
      <c r="Y35">
        <f>HYPERLINK("https://klasma.github.io/Logging_1060/tillsynsmail/A 50855-2019 tillsynsbegäran mail.docx", "A 50855-2019")</f>
        <v/>
      </c>
    </row>
    <row r="36" ht="15" customHeight="1">
      <c r="A36" t="inlineStr">
        <is>
          <t>A 679-2020</t>
        </is>
      </c>
      <c r="B36" s="1" t="n">
        <v>43817</v>
      </c>
      <c r="C36" s="1" t="n">
        <v>45231</v>
      </c>
      <c r="D36" t="inlineStr">
        <is>
          <t>BLEKINGE LÄN</t>
        </is>
      </c>
      <c r="E36" t="inlineStr">
        <is>
          <t>RONNEBY</t>
        </is>
      </c>
      <c r="G36" t="n">
        <v>9.4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Åkergroda</t>
        </is>
      </c>
      <c r="S36">
        <f>HYPERLINK("https://klasma.github.io/Logging_1081/artfynd/A 679-2020 artfynd.xlsx", "A 679-2020")</f>
        <v/>
      </c>
      <c r="T36">
        <f>HYPERLINK("https://klasma.github.io/Logging_1081/kartor/A 679-2020 karta.png", "A 679-2020")</f>
        <v/>
      </c>
      <c r="V36">
        <f>HYPERLINK("https://klasma.github.io/Logging_1081/klagomål/A 679-2020 FSC-klagomål.docx", "A 679-2020")</f>
        <v/>
      </c>
      <c r="W36">
        <f>HYPERLINK("https://klasma.github.io/Logging_1081/klagomålsmail/A 679-2020 FSC-klagomål mail.docx", "A 679-2020")</f>
        <v/>
      </c>
      <c r="X36">
        <f>HYPERLINK("https://klasma.github.io/Logging_1081/tillsyn/A 679-2020 tillsynsbegäran.docx", "A 679-2020")</f>
        <v/>
      </c>
      <c r="Y36">
        <f>HYPERLINK("https://klasma.github.io/Logging_1081/tillsynsmail/A 679-2020 tillsynsbegäran mail.docx", "A 679-2020")</f>
        <v/>
      </c>
    </row>
    <row r="37" ht="15" customHeight="1">
      <c r="A37" t="inlineStr">
        <is>
          <t>A 22438-2020</t>
        </is>
      </c>
      <c r="B37" s="1" t="n">
        <v>43963</v>
      </c>
      <c r="C37" s="1" t="n">
        <v>45231</v>
      </c>
      <c r="D37" t="inlineStr">
        <is>
          <t>BLEKINGE LÄN</t>
        </is>
      </c>
      <c r="E37" t="inlineStr">
        <is>
          <t>KARLSKRONA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HYPERLINK("https://klasma.github.io/Logging_1080/artfynd/A 22438-2020 artfynd.xlsx", "A 22438-2020")</f>
        <v/>
      </c>
      <c r="T37">
        <f>HYPERLINK("https://klasma.github.io/Logging_1080/kartor/A 22438-2020 karta.png", "A 22438-2020")</f>
        <v/>
      </c>
      <c r="V37">
        <f>HYPERLINK("https://klasma.github.io/Logging_1080/klagomål/A 22438-2020 FSC-klagomål.docx", "A 22438-2020")</f>
        <v/>
      </c>
      <c r="W37">
        <f>HYPERLINK("https://klasma.github.io/Logging_1080/klagomålsmail/A 22438-2020 FSC-klagomål mail.docx", "A 22438-2020")</f>
        <v/>
      </c>
      <c r="X37">
        <f>HYPERLINK("https://klasma.github.io/Logging_1080/tillsyn/A 22438-2020 tillsynsbegäran.docx", "A 22438-2020")</f>
        <v/>
      </c>
      <c r="Y37">
        <f>HYPERLINK("https://klasma.github.io/Logging_1080/tillsynsmail/A 22438-2020 tillsynsbegäran mail.docx", "A 22438-2020")</f>
        <v/>
      </c>
    </row>
    <row r="38" ht="15" customHeight="1">
      <c r="A38" t="inlineStr">
        <is>
          <t>A 24509-2020</t>
        </is>
      </c>
      <c r="B38" s="1" t="n">
        <v>43977</v>
      </c>
      <c r="C38" s="1" t="n">
        <v>45231</v>
      </c>
      <c r="D38" t="inlineStr">
        <is>
          <t>BLEKINGE LÄN</t>
        </is>
      </c>
      <c r="E38" t="inlineStr">
        <is>
          <t>KARLSHAMN</t>
        </is>
      </c>
      <c r="G38" t="n">
        <v>11.3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Kungsfiskare</t>
        </is>
      </c>
      <c r="S38">
        <f>HYPERLINK("https://klasma.github.io/Logging_1082/artfynd/A 24509-2020 artfynd.xlsx", "A 24509-2020")</f>
        <v/>
      </c>
      <c r="T38">
        <f>HYPERLINK("https://klasma.github.io/Logging_1082/kartor/A 24509-2020 karta.png", "A 24509-2020")</f>
        <v/>
      </c>
      <c r="V38">
        <f>HYPERLINK("https://klasma.github.io/Logging_1082/klagomål/A 24509-2020 FSC-klagomål.docx", "A 24509-2020")</f>
        <v/>
      </c>
      <c r="W38">
        <f>HYPERLINK("https://klasma.github.io/Logging_1082/klagomålsmail/A 24509-2020 FSC-klagomål mail.docx", "A 24509-2020")</f>
        <v/>
      </c>
      <c r="X38">
        <f>HYPERLINK("https://klasma.github.io/Logging_1082/tillsyn/A 24509-2020 tillsynsbegäran.docx", "A 24509-2020")</f>
        <v/>
      </c>
      <c r="Y38">
        <f>HYPERLINK("https://klasma.github.io/Logging_1082/tillsynsmail/A 24509-2020 tillsynsbegäran mail.docx", "A 24509-2020")</f>
        <v/>
      </c>
    </row>
    <row r="39" ht="15" customHeight="1">
      <c r="A39" t="inlineStr">
        <is>
          <t>A 28730-2020</t>
        </is>
      </c>
      <c r="B39" s="1" t="n">
        <v>43999</v>
      </c>
      <c r="C39" s="1" t="n">
        <v>45231</v>
      </c>
      <c r="D39" t="inlineStr">
        <is>
          <t>BLEKINGE LÄN</t>
        </is>
      </c>
      <c r="E39" t="inlineStr">
        <is>
          <t>KARLSHAMN</t>
        </is>
      </c>
      <c r="G39" t="n">
        <v>2.2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HYPERLINK("https://klasma.github.io/Logging_1082/artfynd/A 28730-2020 artfynd.xlsx", "A 28730-2020")</f>
        <v/>
      </c>
      <c r="T39">
        <f>HYPERLINK("https://klasma.github.io/Logging_1082/kartor/A 28730-2020 karta.png", "A 28730-2020")</f>
        <v/>
      </c>
      <c r="V39">
        <f>HYPERLINK("https://klasma.github.io/Logging_1082/klagomål/A 28730-2020 FSC-klagomål.docx", "A 28730-2020")</f>
        <v/>
      </c>
      <c r="W39">
        <f>HYPERLINK("https://klasma.github.io/Logging_1082/klagomålsmail/A 28730-2020 FSC-klagomål mail.docx", "A 28730-2020")</f>
        <v/>
      </c>
      <c r="X39">
        <f>HYPERLINK("https://klasma.github.io/Logging_1082/tillsyn/A 28730-2020 tillsynsbegäran.docx", "A 28730-2020")</f>
        <v/>
      </c>
      <c r="Y39">
        <f>HYPERLINK("https://klasma.github.io/Logging_1082/tillsynsmail/A 28730-2020 tillsynsbegäran mail.docx", "A 28730-2020")</f>
        <v/>
      </c>
    </row>
    <row r="40" ht="15" customHeight="1">
      <c r="A40" t="inlineStr">
        <is>
          <t>A 33062-2020</t>
        </is>
      </c>
      <c r="B40" s="1" t="n">
        <v>44021</v>
      </c>
      <c r="C40" s="1" t="n">
        <v>45231</v>
      </c>
      <c r="D40" t="inlineStr">
        <is>
          <t>BLEKINGE LÄN</t>
        </is>
      </c>
      <c r="E40" t="inlineStr">
        <is>
          <t>KARLSKRONA</t>
        </is>
      </c>
      <c r="G40" t="n">
        <v>21.2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Lopplummer</t>
        </is>
      </c>
      <c r="S40">
        <f>HYPERLINK("https://klasma.github.io/Logging_1080/artfynd/A 33062-2020 artfynd.xlsx", "A 33062-2020")</f>
        <v/>
      </c>
      <c r="T40">
        <f>HYPERLINK("https://klasma.github.io/Logging_1080/kartor/A 33062-2020 karta.png", "A 33062-2020")</f>
        <v/>
      </c>
      <c r="V40">
        <f>HYPERLINK("https://klasma.github.io/Logging_1080/klagomål/A 33062-2020 FSC-klagomål.docx", "A 33062-2020")</f>
        <v/>
      </c>
      <c r="W40">
        <f>HYPERLINK("https://klasma.github.io/Logging_1080/klagomålsmail/A 33062-2020 FSC-klagomål mail.docx", "A 33062-2020")</f>
        <v/>
      </c>
      <c r="X40">
        <f>HYPERLINK("https://klasma.github.io/Logging_1080/tillsyn/A 33062-2020 tillsynsbegäran.docx", "A 33062-2020")</f>
        <v/>
      </c>
      <c r="Y40">
        <f>HYPERLINK("https://klasma.github.io/Logging_1080/tillsynsmail/A 33062-2020 tillsynsbegäran mail.docx", "A 33062-2020")</f>
        <v/>
      </c>
    </row>
    <row r="41" ht="15" customHeight="1">
      <c r="A41" t="inlineStr">
        <is>
          <t>A 34682-2020</t>
        </is>
      </c>
      <c r="B41" s="1" t="n">
        <v>44034</v>
      </c>
      <c r="C41" s="1" t="n">
        <v>45231</v>
      </c>
      <c r="D41" t="inlineStr">
        <is>
          <t>BLEKINGE LÄN</t>
        </is>
      </c>
      <c r="E41" t="inlineStr">
        <is>
          <t>OLOFSTRÖM</t>
        </is>
      </c>
      <c r="G41" t="n">
        <v>63.3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HYPERLINK("https://klasma.github.io/Logging_1060/artfynd/A 34682-2020 artfynd.xlsx", "A 34682-2020")</f>
        <v/>
      </c>
      <c r="T41">
        <f>HYPERLINK("https://klasma.github.io/Logging_1060/kartor/A 34682-2020 karta.png", "A 34682-2020")</f>
        <v/>
      </c>
      <c r="V41">
        <f>HYPERLINK("https://klasma.github.io/Logging_1060/klagomål/A 34682-2020 FSC-klagomål.docx", "A 34682-2020")</f>
        <v/>
      </c>
      <c r="W41">
        <f>HYPERLINK("https://klasma.github.io/Logging_1060/klagomålsmail/A 34682-2020 FSC-klagomål mail.docx", "A 34682-2020")</f>
        <v/>
      </c>
      <c r="X41">
        <f>HYPERLINK("https://klasma.github.io/Logging_1060/tillsyn/A 34682-2020 tillsynsbegäran.docx", "A 34682-2020")</f>
        <v/>
      </c>
      <c r="Y41">
        <f>HYPERLINK("https://klasma.github.io/Logging_1060/tillsynsmail/A 34682-2020 tillsynsbegäran mail.docx", "A 34682-2020")</f>
        <v/>
      </c>
    </row>
    <row r="42" ht="15" customHeight="1">
      <c r="A42" t="inlineStr">
        <is>
          <t>A 41063-2020</t>
        </is>
      </c>
      <c r="B42" s="1" t="n">
        <v>44071</v>
      </c>
      <c r="C42" s="1" t="n">
        <v>45231</v>
      </c>
      <c r="D42" t="inlineStr">
        <is>
          <t>BLEKINGE LÄN</t>
        </is>
      </c>
      <c r="E42" t="inlineStr">
        <is>
          <t>OLOFSTRÖM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HYPERLINK("https://klasma.github.io/Logging_1060/artfynd/A 41063-2020 artfynd.xlsx", "A 41063-2020")</f>
        <v/>
      </c>
      <c r="T42">
        <f>HYPERLINK("https://klasma.github.io/Logging_1060/kartor/A 41063-2020 karta.png", "A 41063-2020")</f>
        <v/>
      </c>
      <c r="V42">
        <f>HYPERLINK("https://klasma.github.io/Logging_1060/klagomål/A 41063-2020 FSC-klagomål.docx", "A 41063-2020")</f>
        <v/>
      </c>
      <c r="W42">
        <f>HYPERLINK("https://klasma.github.io/Logging_1060/klagomålsmail/A 41063-2020 FSC-klagomål mail.docx", "A 41063-2020")</f>
        <v/>
      </c>
      <c r="X42">
        <f>HYPERLINK("https://klasma.github.io/Logging_1060/tillsyn/A 41063-2020 tillsynsbegäran.docx", "A 41063-2020")</f>
        <v/>
      </c>
      <c r="Y42">
        <f>HYPERLINK("https://klasma.github.io/Logging_1060/tillsynsmail/A 41063-2020 tillsynsbegäran mail.docx", "A 41063-2020")</f>
        <v/>
      </c>
    </row>
    <row r="43" ht="15" customHeight="1">
      <c r="A43" t="inlineStr">
        <is>
          <t>A 44540-2020</t>
        </is>
      </c>
      <c r="B43" s="1" t="n">
        <v>44084</v>
      </c>
      <c r="C43" s="1" t="n">
        <v>45231</v>
      </c>
      <c r="D43" t="inlineStr">
        <is>
          <t>BLEKINGE LÄN</t>
        </is>
      </c>
      <c r="E43" t="inlineStr">
        <is>
          <t>OLOFSTRÖM</t>
        </is>
      </c>
      <c r="G43" t="n">
        <v>22.1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HYPERLINK("https://klasma.github.io/Logging_1060/artfynd/A 44540-2020 artfynd.xlsx", "A 44540-2020")</f>
        <v/>
      </c>
      <c r="T43">
        <f>HYPERLINK("https://klasma.github.io/Logging_1060/kartor/A 44540-2020 karta.png", "A 44540-2020")</f>
        <v/>
      </c>
      <c r="V43">
        <f>HYPERLINK("https://klasma.github.io/Logging_1060/klagomål/A 44540-2020 FSC-klagomål.docx", "A 44540-2020")</f>
        <v/>
      </c>
      <c r="W43">
        <f>HYPERLINK("https://klasma.github.io/Logging_1060/klagomålsmail/A 44540-2020 FSC-klagomål mail.docx", "A 44540-2020")</f>
        <v/>
      </c>
      <c r="X43">
        <f>HYPERLINK("https://klasma.github.io/Logging_1060/tillsyn/A 44540-2020 tillsynsbegäran.docx", "A 44540-2020")</f>
        <v/>
      </c>
      <c r="Y43">
        <f>HYPERLINK("https://klasma.github.io/Logging_1060/tillsynsmail/A 44540-2020 tillsynsbegäran mail.docx", "A 44540-2020")</f>
        <v/>
      </c>
    </row>
    <row r="44" ht="15" customHeight="1">
      <c r="A44" t="inlineStr">
        <is>
          <t>A 50311-2020</t>
        </is>
      </c>
      <c r="B44" s="1" t="n">
        <v>44109</v>
      </c>
      <c r="C44" s="1" t="n">
        <v>45231</v>
      </c>
      <c r="D44" t="inlineStr">
        <is>
          <t>BLEKINGE LÄN</t>
        </is>
      </c>
      <c r="E44" t="inlineStr">
        <is>
          <t>OLOFSTRÖM</t>
        </is>
      </c>
      <c r="G44" t="n">
        <v>3.5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HYPERLINK("https://klasma.github.io/Logging_1060/artfynd/A 50311-2020 artfynd.xlsx", "A 50311-2020")</f>
        <v/>
      </c>
      <c r="T44">
        <f>HYPERLINK("https://klasma.github.io/Logging_1060/kartor/A 50311-2020 karta.png", "A 50311-2020")</f>
        <v/>
      </c>
      <c r="U44">
        <f>HYPERLINK("https://klasma.github.io/Logging_1060/knärot/A 50311-2020 karta knärot.png", "A 50311-2020")</f>
        <v/>
      </c>
      <c r="V44">
        <f>HYPERLINK("https://klasma.github.io/Logging_1060/klagomål/A 50311-2020 FSC-klagomål.docx", "A 50311-2020")</f>
        <v/>
      </c>
      <c r="W44">
        <f>HYPERLINK("https://klasma.github.io/Logging_1060/klagomålsmail/A 50311-2020 FSC-klagomål mail.docx", "A 50311-2020")</f>
        <v/>
      </c>
      <c r="X44">
        <f>HYPERLINK("https://klasma.github.io/Logging_1060/tillsyn/A 50311-2020 tillsynsbegäran.docx", "A 50311-2020")</f>
        <v/>
      </c>
      <c r="Y44">
        <f>HYPERLINK("https://klasma.github.io/Logging_1060/tillsynsmail/A 50311-2020 tillsynsbegäran mail.docx", "A 50311-2020")</f>
        <v/>
      </c>
    </row>
    <row r="45" ht="15" customHeight="1">
      <c r="A45" t="inlineStr">
        <is>
          <t>A 52200-2020</t>
        </is>
      </c>
      <c r="B45" s="1" t="n">
        <v>44111</v>
      </c>
      <c r="C45" s="1" t="n">
        <v>45231</v>
      </c>
      <c r="D45" t="inlineStr">
        <is>
          <t>BLEKINGE LÄN</t>
        </is>
      </c>
      <c r="E45" t="inlineStr">
        <is>
          <t>KARLSHAMN</t>
        </is>
      </c>
      <c r="F45" t="inlineStr">
        <is>
          <t>Övriga Aktiebolag</t>
        </is>
      </c>
      <c r="G45" t="n">
        <v>2.8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HYPERLINK("https://klasma.github.io/Logging_1082/artfynd/A 52200-2020 artfynd.xlsx", "A 52200-2020")</f>
        <v/>
      </c>
      <c r="T45">
        <f>HYPERLINK("https://klasma.github.io/Logging_1082/kartor/A 52200-2020 karta.png", "A 52200-2020")</f>
        <v/>
      </c>
      <c r="V45">
        <f>HYPERLINK("https://klasma.github.io/Logging_1082/klagomål/A 52200-2020 FSC-klagomål.docx", "A 52200-2020")</f>
        <v/>
      </c>
      <c r="W45">
        <f>HYPERLINK("https://klasma.github.io/Logging_1082/klagomålsmail/A 52200-2020 FSC-klagomål mail.docx", "A 52200-2020")</f>
        <v/>
      </c>
      <c r="X45">
        <f>HYPERLINK("https://klasma.github.io/Logging_1082/tillsyn/A 52200-2020 tillsynsbegäran.docx", "A 52200-2020")</f>
        <v/>
      </c>
      <c r="Y45">
        <f>HYPERLINK("https://klasma.github.io/Logging_1082/tillsynsmail/A 52200-2020 tillsynsbegäran mail.docx", "A 52200-2020")</f>
        <v/>
      </c>
    </row>
    <row r="46" ht="15" customHeight="1">
      <c r="A46" t="inlineStr">
        <is>
          <t>A 55714-2020</t>
        </is>
      </c>
      <c r="B46" s="1" t="n">
        <v>44132</v>
      </c>
      <c r="C46" s="1" t="n">
        <v>45231</v>
      </c>
      <c r="D46" t="inlineStr">
        <is>
          <t>BLEKINGE LÄN</t>
        </is>
      </c>
      <c r="E46" t="inlineStr">
        <is>
          <t>KARLSKRONA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Brandticka</t>
        </is>
      </c>
      <c r="S46">
        <f>HYPERLINK("https://klasma.github.io/Logging_1080/artfynd/A 55714-2020 artfynd.xlsx", "A 55714-2020")</f>
        <v/>
      </c>
      <c r="T46">
        <f>HYPERLINK("https://klasma.github.io/Logging_1080/kartor/A 55714-2020 karta.png", "A 55714-2020")</f>
        <v/>
      </c>
      <c r="V46">
        <f>HYPERLINK("https://klasma.github.io/Logging_1080/klagomål/A 55714-2020 FSC-klagomål.docx", "A 55714-2020")</f>
        <v/>
      </c>
      <c r="W46">
        <f>HYPERLINK("https://klasma.github.io/Logging_1080/klagomålsmail/A 55714-2020 FSC-klagomål mail.docx", "A 55714-2020")</f>
        <v/>
      </c>
      <c r="X46">
        <f>HYPERLINK("https://klasma.github.io/Logging_1080/tillsyn/A 55714-2020 tillsynsbegäran.docx", "A 55714-2020")</f>
        <v/>
      </c>
      <c r="Y46">
        <f>HYPERLINK("https://klasma.github.io/Logging_1080/tillsynsmail/A 55714-2020 tillsynsbegäran mail.docx", "A 55714-2020")</f>
        <v/>
      </c>
    </row>
    <row r="47" ht="15" customHeight="1">
      <c r="A47" t="inlineStr">
        <is>
          <t>A 57181-2020</t>
        </is>
      </c>
      <c r="B47" s="1" t="n">
        <v>44139</v>
      </c>
      <c r="C47" s="1" t="n">
        <v>45231</v>
      </c>
      <c r="D47" t="inlineStr">
        <is>
          <t>BLEKINGE LÄN</t>
        </is>
      </c>
      <c r="E47" t="inlineStr">
        <is>
          <t>KARLSKRONA</t>
        </is>
      </c>
      <c r="G47" t="n">
        <v>49.1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HYPERLINK("https://klasma.github.io/Logging_1080/artfynd/A 57181-2020 artfynd.xlsx", "A 57181-2020")</f>
        <v/>
      </c>
      <c r="T47">
        <f>HYPERLINK("https://klasma.github.io/Logging_1080/kartor/A 57181-2020 karta.png", "A 57181-2020")</f>
        <v/>
      </c>
      <c r="V47">
        <f>HYPERLINK("https://klasma.github.io/Logging_1080/klagomål/A 57181-2020 FSC-klagomål.docx", "A 57181-2020")</f>
        <v/>
      </c>
      <c r="W47">
        <f>HYPERLINK("https://klasma.github.io/Logging_1080/klagomålsmail/A 57181-2020 FSC-klagomål mail.docx", "A 57181-2020")</f>
        <v/>
      </c>
      <c r="X47">
        <f>HYPERLINK("https://klasma.github.io/Logging_1080/tillsyn/A 57181-2020 tillsynsbegäran.docx", "A 57181-2020")</f>
        <v/>
      </c>
      <c r="Y47">
        <f>HYPERLINK("https://klasma.github.io/Logging_1080/tillsynsmail/A 57181-2020 tillsynsbegäran mail.docx", "A 57181-2020")</f>
        <v/>
      </c>
    </row>
    <row r="48" ht="15" customHeight="1">
      <c r="A48" t="inlineStr">
        <is>
          <t>A 58803-2020</t>
        </is>
      </c>
      <c r="B48" s="1" t="n">
        <v>44139</v>
      </c>
      <c r="C48" s="1" t="n">
        <v>45231</v>
      </c>
      <c r="D48" t="inlineStr">
        <is>
          <t>BLEKINGE LÄN</t>
        </is>
      </c>
      <c r="E48" t="inlineStr">
        <is>
          <t>KARLSKRONA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HYPERLINK("https://klasma.github.io/Logging_1080/artfynd/A 58803-2020 artfynd.xlsx", "A 58803-2020")</f>
        <v/>
      </c>
      <c r="T48">
        <f>HYPERLINK("https://klasma.github.io/Logging_1080/kartor/A 58803-2020 karta.png", "A 58803-2020")</f>
        <v/>
      </c>
      <c r="V48">
        <f>HYPERLINK("https://klasma.github.io/Logging_1080/klagomål/A 58803-2020 FSC-klagomål.docx", "A 58803-2020")</f>
        <v/>
      </c>
      <c r="W48">
        <f>HYPERLINK("https://klasma.github.io/Logging_1080/klagomålsmail/A 58803-2020 FSC-klagomål mail.docx", "A 58803-2020")</f>
        <v/>
      </c>
      <c r="X48">
        <f>HYPERLINK("https://klasma.github.io/Logging_1080/tillsyn/A 58803-2020 tillsynsbegäran.docx", "A 58803-2020")</f>
        <v/>
      </c>
      <c r="Y48">
        <f>HYPERLINK("https://klasma.github.io/Logging_1080/tillsynsmail/A 58803-2020 tillsynsbegäran mail.docx", "A 58803-2020")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45231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61898-2020</t>
        </is>
      </c>
      <c r="B50" s="1" t="n">
        <v>44159</v>
      </c>
      <c r="C50" s="1" t="n">
        <v>45231</v>
      </c>
      <c r="D50" t="inlineStr">
        <is>
          <t>BLEKINGE LÄN</t>
        </is>
      </c>
      <c r="E50" t="inlineStr">
        <is>
          <t>KARLSKRONA</t>
        </is>
      </c>
      <c r="G50" t="n">
        <v>6.9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Ekoxe</t>
        </is>
      </c>
      <c r="S50">
        <f>HYPERLINK("https://klasma.github.io/Logging_1080/artfynd/A 61898-2020 artfynd.xlsx", "A 61898-2020")</f>
        <v/>
      </c>
      <c r="T50">
        <f>HYPERLINK("https://klasma.github.io/Logging_1080/kartor/A 61898-2020 karta.png", "A 61898-2020")</f>
        <v/>
      </c>
      <c r="V50">
        <f>HYPERLINK("https://klasma.github.io/Logging_1080/klagomål/A 61898-2020 FSC-klagomål.docx", "A 61898-2020")</f>
        <v/>
      </c>
      <c r="W50">
        <f>HYPERLINK("https://klasma.github.io/Logging_1080/klagomålsmail/A 61898-2020 FSC-klagomål mail.docx", "A 61898-2020")</f>
        <v/>
      </c>
      <c r="X50">
        <f>HYPERLINK("https://klasma.github.io/Logging_1080/tillsyn/A 61898-2020 tillsynsbegäran.docx", "A 61898-2020")</f>
        <v/>
      </c>
      <c r="Y50">
        <f>HYPERLINK("https://klasma.github.io/Logging_1080/tillsynsmail/A 61898-2020 tillsynsbegäran mail.docx", "A 61898-2020")</f>
        <v/>
      </c>
    </row>
    <row r="51" ht="15" customHeight="1">
      <c r="A51" t="inlineStr">
        <is>
          <t>A 6932-2021</t>
        </is>
      </c>
      <c r="B51" s="1" t="n">
        <v>44237</v>
      </c>
      <c r="C51" s="1" t="n">
        <v>45231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Kavelhirs</t>
        </is>
      </c>
      <c r="S51">
        <f>HYPERLINK("https://klasma.github.io/Logging_1080/artfynd/A 6932-2021 artfynd.xlsx", "A 6932-2021")</f>
        <v/>
      </c>
      <c r="T51">
        <f>HYPERLINK("https://klasma.github.io/Logging_1080/kartor/A 6932-2021 karta.png", "A 6932-2021")</f>
        <v/>
      </c>
      <c r="V51">
        <f>HYPERLINK("https://klasma.github.io/Logging_1080/klagomål/A 6932-2021 FSC-klagomål.docx", "A 6932-2021")</f>
        <v/>
      </c>
      <c r="W51">
        <f>HYPERLINK("https://klasma.github.io/Logging_1080/klagomålsmail/A 6932-2021 FSC-klagomål mail.docx", "A 6932-2021")</f>
        <v/>
      </c>
      <c r="X51">
        <f>HYPERLINK("https://klasma.github.io/Logging_1080/tillsyn/A 6932-2021 tillsynsbegäran.docx", "A 6932-2021")</f>
        <v/>
      </c>
      <c r="Y51">
        <f>HYPERLINK("https://klasma.github.io/Logging_1080/tillsynsmail/A 6932-2021 tillsynsbegäran mail.docx", "A 6932-2021")</f>
        <v/>
      </c>
    </row>
    <row r="52" ht="15" customHeight="1">
      <c r="A52" t="inlineStr">
        <is>
          <t>A 15365-2021</t>
        </is>
      </c>
      <c r="B52" s="1" t="n">
        <v>44284</v>
      </c>
      <c r="C52" s="1" t="n">
        <v>45231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10.9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Smålom</t>
        </is>
      </c>
      <c r="S52">
        <f>HYPERLINK("https://klasma.github.io/Logging_1081/artfynd/A 15365-2021 artfynd.xlsx", "A 15365-2021")</f>
        <v/>
      </c>
      <c r="T52">
        <f>HYPERLINK("https://klasma.github.io/Logging_1081/kartor/A 15365-2021 karta.png", "A 15365-2021")</f>
        <v/>
      </c>
      <c r="V52">
        <f>HYPERLINK("https://klasma.github.io/Logging_1081/klagomål/A 15365-2021 FSC-klagomål.docx", "A 15365-2021")</f>
        <v/>
      </c>
      <c r="W52">
        <f>HYPERLINK("https://klasma.github.io/Logging_1081/klagomålsmail/A 15365-2021 FSC-klagomål mail.docx", "A 15365-2021")</f>
        <v/>
      </c>
      <c r="X52">
        <f>HYPERLINK("https://klasma.github.io/Logging_1081/tillsyn/A 15365-2021 tillsynsbegäran.docx", "A 15365-2021")</f>
        <v/>
      </c>
      <c r="Y52">
        <f>HYPERLINK("https://klasma.github.io/Logging_1081/tillsynsmail/A 15365-2021 tillsynsbegäran mail.docx", "A 15365-2021")</f>
        <v/>
      </c>
    </row>
    <row r="53" ht="15" customHeight="1">
      <c r="A53" t="inlineStr">
        <is>
          <t>A 17360-2021</t>
        </is>
      </c>
      <c r="B53" s="1" t="n">
        <v>44298</v>
      </c>
      <c r="C53" s="1" t="n">
        <v>45231</v>
      </c>
      <c r="D53" t="inlineStr">
        <is>
          <t>BLEKINGE LÄN</t>
        </is>
      </c>
      <c r="E53" t="inlineStr">
        <is>
          <t>RONNEBY</t>
        </is>
      </c>
      <c r="G53" t="n">
        <v>4.2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HYPERLINK("https://klasma.github.io/Logging_1081/artfynd/A 17360-2021 artfynd.xlsx", "A 17360-2021")</f>
        <v/>
      </c>
      <c r="T53">
        <f>HYPERLINK("https://klasma.github.io/Logging_1081/kartor/A 17360-2021 karta.png", "A 17360-2021")</f>
        <v/>
      </c>
      <c r="V53">
        <f>HYPERLINK("https://klasma.github.io/Logging_1081/klagomål/A 17360-2021 FSC-klagomål.docx", "A 17360-2021")</f>
        <v/>
      </c>
      <c r="W53">
        <f>HYPERLINK("https://klasma.github.io/Logging_1081/klagomålsmail/A 17360-2021 FSC-klagomål mail.docx", "A 17360-2021")</f>
        <v/>
      </c>
      <c r="X53">
        <f>HYPERLINK("https://klasma.github.io/Logging_1081/tillsyn/A 17360-2021 tillsynsbegäran.docx", "A 17360-2021")</f>
        <v/>
      </c>
      <c r="Y53">
        <f>HYPERLINK("https://klasma.github.io/Logging_1081/tillsynsmail/A 17360-2021 tillsynsbegäran mail.docx", "A 17360-2021")</f>
        <v/>
      </c>
    </row>
    <row r="54" ht="15" customHeight="1">
      <c r="A54" t="inlineStr">
        <is>
          <t>A 18370-2021</t>
        </is>
      </c>
      <c r="B54" s="1" t="n">
        <v>44305</v>
      </c>
      <c r="C54" s="1" t="n">
        <v>45231</v>
      </c>
      <c r="D54" t="inlineStr">
        <is>
          <t>BLEKINGE LÄN</t>
        </is>
      </c>
      <c r="E54" t="inlineStr">
        <is>
          <t>RONNEBY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HYPERLINK("https://klasma.github.io/Logging_1081/artfynd/A 18370-2021 artfynd.xlsx", "A 18370-2021")</f>
        <v/>
      </c>
      <c r="T54">
        <f>HYPERLINK("https://klasma.github.io/Logging_1081/kartor/A 18370-2021 karta.png", "A 18370-2021")</f>
        <v/>
      </c>
      <c r="U54">
        <f>HYPERLINK("https://klasma.github.io/Logging_1081/knärot/A 18370-2021 karta knärot.png", "A 18370-2021")</f>
        <v/>
      </c>
      <c r="V54">
        <f>HYPERLINK("https://klasma.github.io/Logging_1081/klagomål/A 18370-2021 FSC-klagomål.docx", "A 18370-2021")</f>
        <v/>
      </c>
      <c r="W54">
        <f>HYPERLINK("https://klasma.github.io/Logging_1081/klagomålsmail/A 18370-2021 FSC-klagomål mail.docx", "A 18370-2021")</f>
        <v/>
      </c>
      <c r="X54">
        <f>HYPERLINK("https://klasma.github.io/Logging_1081/tillsyn/A 18370-2021 tillsynsbegäran.docx", "A 18370-2021")</f>
        <v/>
      </c>
      <c r="Y54">
        <f>HYPERLINK("https://klasma.github.io/Logging_1081/tillsynsmail/A 18370-2021 tillsynsbegäran mail.docx", "A 18370-2021")</f>
        <v/>
      </c>
    </row>
    <row r="55" ht="15" customHeight="1">
      <c r="A55" t="inlineStr">
        <is>
          <t>A 20040-2021</t>
        </is>
      </c>
      <c r="B55" s="1" t="n">
        <v>44313</v>
      </c>
      <c r="C55" s="1" t="n">
        <v>45231</v>
      </c>
      <c r="D55" t="inlineStr">
        <is>
          <t>BLEKINGE LÄN</t>
        </is>
      </c>
      <c r="E55" t="inlineStr">
        <is>
          <t>OLOFSTRÖM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HYPERLINK("https://klasma.github.io/Logging_1060/artfynd/A 20040-2021 artfynd.xlsx", "A 20040-2021")</f>
        <v/>
      </c>
      <c r="T55">
        <f>HYPERLINK("https://klasma.github.io/Logging_1060/kartor/A 20040-2021 karta.png", "A 20040-2021")</f>
        <v/>
      </c>
      <c r="V55">
        <f>HYPERLINK("https://klasma.github.io/Logging_1060/klagomål/A 20040-2021 FSC-klagomål.docx", "A 20040-2021")</f>
        <v/>
      </c>
      <c r="W55">
        <f>HYPERLINK("https://klasma.github.io/Logging_1060/klagomålsmail/A 20040-2021 FSC-klagomål mail.docx", "A 20040-2021")</f>
        <v/>
      </c>
      <c r="X55">
        <f>HYPERLINK("https://klasma.github.io/Logging_1060/tillsyn/A 20040-2021 tillsynsbegäran.docx", "A 20040-2021")</f>
        <v/>
      </c>
      <c r="Y55">
        <f>HYPERLINK("https://klasma.github.io/Logging_1060/tillsynsmail/A 20040-2021 tillsynsbegäran mail.docx", "A 20040-2021")</f>
        <v/>
      </c>
    </row>
    <row r="56" ht="15" customHeight="1">
      <c r="A56" t="inlineStr">
        <is>
          <t>A 25955-2021</t>
        </is>
      </c>
      <c r="B56" s="1" t="n">
        <v>44344</v>
      </c>
      <c r="C56" s="1" t="n">
        <v>45231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HYPERLINK("https://klasma.github.io/Logging_1081/artfynd/A 25955-2021 artfynd.xlsx", "A 25955-2021")</f>
        <v/>
      </c>
      <c r="T56">
        <f>HYPERLINK("https://klasma.github.io/Logging_1081/kartor/A 25955-2021 karta.png", "A 25955-2021")</f>
        <v/>
      </c>
      <c r="V56">
        <f>HYPERLINK("https://klasma.github.io/Logging_1081/klagomål/A 25955-2021 FSC-klagomål.docx", "A 25955-2021")</f>
        <v/>
      </c>
      <c r="W56">
        <f>HYPERLINK("https://klasma.github.io/Logging_1081/klagomålsmail/A 25955-2021 FSC-klagomål mail.docx", "A 25955-2021")</f>
        <v/>
      </c>
      <c r="X56">
        <f>HYPERLINK("https://klasma.github.io/Logging_1081/tillsyn/A 25955-2021 tillsynsbegäran.docx", "A 25955-2021")</f>
        <v/>
      </c>
      <c r="Y56">
        <f>HYPERLINK("https://klasma.github.io/Logging_1081/tillsynsmail/A 25955-2021 tillsynsbegäran mail.docx", "A 25955-2021")</f>
        <v/>
      </c>
    </row>
    <row r="57" ht="15" customHeight="1">
      <c r="A57" t="inlineStr">
        <is>
          <t>A 37115-2021</t>
        </is>
      </c>
      <c r="B57" s="1" t="n">
        <v>44395</v>
      </c>
      <c r="C57" s="1" t="n">
        <v>45231</v>
      </c>
      <c r="D57" t="inlineStr">
        <is>
          <t>BLEKINGE LÄN</t>
        </is>
      </c>
      <c r="E57" t="inlineStr">
        <is>
          <t>KARLSHAMN</t>
        </is>
      </c>
      <c r="G57" t="n">
        <v>16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Pulverädellav</t>
        </is>
      </c>
      <c r="S57">
        <f>HYPERLINK("https://klasma.github.io/Logging_1082/artfynd/A 37115-2021 artfynd.xlsx", "A 37115-2021")</f>
        <v/>
      </c>
      <c r="T57">
        <f>HYPERLINK("https://klasma.github.io/Logging_1082/kartor/A 37115-2021 karta.png", "A 37115-2021")</f>
        <v/>
      </c>
      <c r="V57">
        <f>HYPERLINK("https://klasma.github.io/Logging_1082/klagomål/A 37115-2021 FSC-klagomål.docx", "A 37115-2021")</f>
        <v/>
      </c>
      <c r="W57">
        <f>HYPERLINK("https://klasma.github.io/Logging_1082/klagomålsmail/A 37115-2021 FSC-klagomål mail.docx", "A 37115-2021")</f>
        <v/>
      </c>
      <c r="X57">
        <f>HYPERLINK("https://klasma.github.io/Logging_1082/tillsyn/A 37115-2021 tillsynsbegäran.docx", "A 37115-2021")</f>
        <v/>
      </c>
      <c r="Y57">
        <f>HYPERLINK("https://klasma.github.io/Logging_1082/tillsynsmail/A 37115-2021 tillsynsbegäran mail.docx", "A 37115-2021")</f>
        <v/>
      </c>
    </row>
    <row r="58" ht="15" customHeight="1">
      <c r="A58" t="inlineStr">
        <is>
          <t>A 38709-2021</t>
        </is>
      </c>
      <c r="B58" s="1" t="n">
        <v>44410</v>
      </c>
      <c r="C58" s="1" t="n">
        <v>45231</v>
      </c>
      <c r="D58" t="inlineStr">
        <is>
          <t>BLEKINGE LÄN</t>
        </is>
      </c>
      <c r="E58" t="inlineStr">
        <is>
          <t>OLOFSTRÖM</t>
        </is>
      </c>
      <c r="G58" t="n">
        <v>2.9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Grönhjon</t>
        </is>
      </c>
      <c r="S58">
        <f>HYPERLINK("https://klasma.github.io/Logging_1060/artfynd/A 38709-2021 artfynd.xlsx", "A 38709-2021")</f>
        <v/>
      </c>
      <c r="T58">
        <f>HYPERLINK("https://klasma.github.io/Logging_1060/kartor/A 38709-2021 karta.png", "A 38709-2021")</f>
        <v/>
      </c>
      <c r="V58">
        <f>HYPERLINK("https://klasma.github.io/Logging_1060/klagomål/A 38709-2021 FSC-klagomål.docx", "A 38709-2021")</f>
        <v/>
      </c>
      <c r="W58">
        <f>HYPERLINK("https://klasma.github.io/Logging_1060/klagomålsmail/A 38709-2021 FSC-klagomål mail.docx", "A 38709-2021")</f>
        <v/>
      </c>
      <c r="X58">
        <f>HYPERLINK("https://klasma.github.io/Logging_1060/tillsyn/A 38709-2021 tillsynsbegäran.docx", "A 38709-2021")</f>
        <v/>
      </c>
      <c r="Y58">
        <f>HYPERLINK("https://klasma.github.io/Logging_1060/tillsynsmail/A 38709-2021 tillsynsbegäran mail.docx", "A 38709-2021")</f>
        <v/>
      </c>
    </row>
    <row r="59" ht="15" customHeight="1">
      <c r="A59" t="inlineStr">
        <is>
          <t>A 41708-2021</t>
        </is>
      </c>
      <c r="B59" s="1" t="n">
        <v>44425</v>
      </c>
      <c r="C59" s="1" t="n">
        <v>45231</v>
      </c>
      <c r="D59" t="inlineStr">
        <is>
          <t>BLEKINGE LÄN</t>
        </is>
      </c>
      <c r="E59" t="inlineStr">
        <is>
          <t>RONNEBY</t>
        </is>
      </c>
      <c r="G59" t="n">
        <v>7.7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Ekticka</t>
        </is>
      </c>
      <c r="S59">
        <f>HYPERLINK("https://klasma.github.io/Logging_1081/artfynd/A 41708-2021 artfynd.xlsx", "A 41708-2021")</f>
        <v/>
      </c>
      <c r="T59">
        <f>HYPERLINK("https://klasma.github.io/Logging_1081/kartor/A 41708-2021 karta.png", "A 41708-2021")</f>
        <v/>
      </c>
      <c r="V59">
        <f>HYPERLINK("https://klasma.github.io/Logging_1081/klagomål/A 41708-2021 FSC-klagomål.docx", "A 41708-2021")</f>
        <v/>
      </c>
      <c r="W59">
        <f>HYPERLINK("https://klasma.github.io/Logging_1081/klagomålsmail/A 41708-2021 FSC-klagomål mail.docx", "A 41708-2021")</f>
        <v/>
      </c>
      <c r="X59">
        <f>HYPERLINK("https://klasma.github.io/Logging_1081/tillsyn/A 41708-2021 tillsynsbegäran.docx", "A 41708-2021")</f>
        <v/>
      </c>
      <c r="Y59">
        <f>HYPERLINK("https://klasma.github.io/Logging_1081/tillsynsmail/A 41708-2021 tillsynsbegäran mail.docx", "A 41708-2021")</f>
        <v/>
      </c>
    </row>
    <row r="60" ht="15" customHeight="1">
      <c r="A60" t="inlineStr">
        <is>
          <t>A 46709-2021</t>
        </is>
      </c>
      <c r="B60" s="1" t="n">
        <v>44445</v>
      </c>
      <c r="C60" s="1" t="n">
        <v>45231</v>
      </c>
      <c r="D60" t="inlineStr">
        <is>
          <t>BLEKINGE LÄN</t>
        </is>
      </c>
      <c r="E60" t="inlineStr">
        <is>
          <t>KARLSKRONA</t>
        </is>
      </c>
      <c r="G60" t="n">
        <v>11.3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Vippärt</t>
        </is>
      </c>
      <c r="S60">
        <f>HYPERLINK("https://klasma.github.io/Logging_1080/artfynd/A 46709-2021 artfynd.xlsx", "A 46709-2021")</f>
        <v/>
      </c>
      <c r="T60">
        <f>HYPERLINK("https://klasma.github.io/Logging_1080/kartor/A 46709-2021 karta.png", "A 46709-2021")</f>
        <v/>
      </c>
      <c r="V60">
        <f>HYPERLINK("https://klasma.github.io/Logging_1080/klagomål/A 46709-2021 FSC-klagomål.docx", "A 46709-2021")</f>
        <v/>
      </c>
      <c r="W60">
        <f>HYPERLINK("https://klasma.github.io/Logging_1080/klagomålsmail/A 46709-2021 FSC-klagomål mail.docx", "A 46709-2021")</f>
        <v/>
      </c>
      <c r="X60">
        <f>HYPERLINK("https://klasma.github.io/Logging_1080/tillsyn/A 46709-2021 tillsynsbegäran.docx", "A 46709-2021")</f>
        <v/>
      </c>
      <c r="Y60">
        <f>HYPERLINK("https://klasma.github.io/Logging_1080/tillsynsmail/A 46709-2021 tillsynsbegäran mail.docx", "A 46709-2021")</f>
        <v/>
      </c>
    </row>
    <row r="61" ht="15" customHeight="1">
      <c r="A61" t="inlineStr">
        <is>
          <t>A 49902-2021</t>
        </is>
      </c>
      <c r="B61" s="1" t="n">
        <v>44455</v>
      </c>
      <c r="C61" s="1" t="n">
        <v>45231</v>
      </c>
      <c r="D61" t="inlineStr">
        <is>
          <t>BLEKINGE LÄN</t>
        </is>
      </c>
      <c r="E61" t="inlineStr">
        <is>
          <t>KARLSHAMN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Västlig hakmossa</t>
        </is>
      </c>
      <c r="S61">
        <f>HYPERLINK("https://klasma.github.io/Logging_1082/artfynd/A 49902-2021 artfynd.xlsx", "A 49902-2021")</f>
        <v/>
      </c>
      <c r="T61">
        <f>HYPERLINK("https://klasma.github.io/Logging_1082/kartor/A 49902-2021 karta.png", "A 49902-2021")</f>
        <v/>
      </c>
      <c r="V61">
        <f>HYPERLINK("https://klasma.github.io/Logging_1082/klagomål/A 49902-2021 FSC-klagomål.docx", "A 49902-2021")</f>
        <v/>
      </c>
      <c r="W61">
        <f>HYPERLINK("https://klasma.github.io/Logging_1082/klagomålsmail/A 49902-2021 FSC-klagomål mail.docx", "A 49902-2021")</f>
        <v/>
      </c>
      <c r="X61">
        <f>HYPERLINK("https://klasma.github.io/Logging_1082/tillsyn/A 49902-2021 tillsynsbegäran.docx", "A 49902-2021")</f>
        <v/>
      </c>
      <c r="Y61">
        <f>HYPERLINK("https://klasma.github.io/Logging_1082/tillsynsmail/A 49902-2021 tillsynsbegäran mail.docx", "A 49902-2021")</f>
        <v/>
      </c>
    </row>
    <row r="62" ht="15" customHeight="1">
      <c r="A62" t="inlineStr">
        <is>
          <t>A 52837-2021</t>
        </is>
      </c>
      <c r="B62" s="1" t="n">
        <v>44467</v>
      </c>
      <c r="C62" s="1" t="n">
        <v>45231</v>
      </c>
      <c r="D62" t="inlineStr">
        <is>
          <t>BLEKINGE LÄN</t>
        </is>
      </c>
      <c r="E62" t="inlineStr">
        <is>
          <t>KARLSKRONA</t>
        </is>
      </c>
      <c r="G62" t="n">
        <v>1.6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groda</t>
        </is>
      </c>
      <c r="S62">
        <f>HYPERLINK("https://klasma.github.io/Logging_1080/artfynd/A 52837-2021 artfynd.xlsx", "A 52837-2021")</f>
        <v/>
      </c>
      <c r="T62">
        <f>HYPERLINK("https://klasma.github.io/Logging_1080/kartor/A 52837-2021 karta.png", "A 52837-2021")</f>
        <v/>
      </c>
      <c r="V62">
        <f>HYPERLINK("https://klasma.github.io/Logging_1080/klagomål/A 52837-2021 FSC-klagomål.docx", "A 52837-2021")</f>
        <v/>
      </c>
      <c r="W62">
        <f>HYPERLINK("https://klasma.github.io/Logging_1080/klagomålsmail/A 52837-2021 FSC-klagomål mail.docx", "A 52837-2021")</f>
        <v/>
      </c>
      <c r="X62">
        <f>HYPERLINK("https://klasma.github.io/Logging_1080/tillsyn/A 52837-2021 tillsynsbegäran.docx", "A 52837-2021")</f>
        <v/>
      </c>
      <c r="Y62">
        <f>HYPERLINK("https://klasma.github.io/Logging_1080/tillsynsmail/A 52837-2021 tillsynsbegäran mail.docx", "A 52837-2021")</f>
        <v/>
      </c>
    </row>
    <row r="63" ht="15" customHeight="1">
      <c r="A63" t="inlineStr">
        <is>
          <t>A 69282-2021</t>
        </is>
      </c>
      <c r="B63" s="1" t="n">
        <v>44531</v>
      </c>
      <c r="C63" s="1" t="n">
        <v>45231</v>
      </c>
      <c r="D63" t="inlineStr">
        <is>
          <t>BLEKINGE LÄN</t>
        </is>
      </c>
      <c r="E63" t="inlineStr">
        <is>
          <t>KARLSKRONA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HYPERLINK("https://klasma.github.io/Logging_1080/artfynd/A 69282-2021 artfynd.xlsx", "A 69282-2021")</f>
        <v/>
      </c>
      <c r="T63">
        <f>HYPERLINK("https://klasma.github.io/Logging_1080/kartor/A 69282-2021 karta.png", "A 69282-2021")</f>
        <v/>
      </c>
      <c r="V63">
        <f>HYPERLINK("https://klasma.github.io/Logging_1080/klagomål/A 69282-2021 FSC-klagomål.docx", "A 69282-2021")</f>
        <v/>
      </c>
      <c r="W63">
        <f>HYPERLINK("https://klasma.github.io/Logging_1080/klagomålsmail/A 69282-2021 FSC-klagomål mail.docx", "A 69282-2021")</f>
        <v/>
      </c>
      <c r="X63">
        <f>HYPERLINK("https://klasma.github.io/Logging_1080/tillsyn/A 69282-2021 tillsynsbegäran.docx", "A 69282-2021")</f>
        <v/>
      </c>
      <c r="Y63">
        <f>HYPERLINK("https://klasma.github.io/Logging_1080/tillsynsmail/A 69282-2021 tillsynsbegäran mail.docx", "A 69282-2021")</f>
        <v/>
      </c>
    </row>
    <row r="64" ht="15" customHeight="1">
      <c r="A64" t="inlineStr">
        <is>
          <t>A 5497-2022</t>
        </is>
      </c>
      <c r="B64" s="1" t="n">
        <v>44595</v>
      </c>
      <c r="C64" s="1" t="n">
        <v>45231</v>
      </c>
      <c r="D64" t="inlineStr">
        <is>
          <t>BLEKINGE LÄN</t>
        </is>
      </c>
      <c r="E64" t="inlineStr">
        <is>
          <t>KARLSHAMN</t>
        </is>
      </c>
      <c r="G64" t="n">
        <v>6.3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Ekoxe</t>
        </is>
      </c>
      <c r="S64">
        <f>HYPERLINK("https://klasma.github.io/Logging_1082/artfynd/A 5497-2022 artfynd.xlsx", "A 5497-2022")</f>
        <v/>
      </c>
      <c r="T64">
        <f>HYPERLINK("https://klasma.github.io/Logging_1082/kartor/A 5497-2022 karta.png", "A 5497-2022")</f>
        <v/>
      </c>
      <c r="V64">
        <f>HYPERLINK("https://klasma.github.io/Logging_1082/klagomål/A 5497-2022 FSC-klagomål.docx", "A 5497-2022")</f>
        <v/>
      </c>
      <c r="W64">
        <f>HYPERLINK("https://klasma.github.io/Logging_1082/klagomålsmail/A 5497-2022 FSC-klagomål mail.docx", "A 5497-2022")</f>
        <v/>
      </c>
      <c r="X64">
        <f>HYPERLINK("https://klasma.github.io/Logging_1082/tillsyn/A 5497-2022 tillsynsbegäran.docx", "A 5497-2022")</f>
        <v/>
      </c>
      <c r="Y64">
        <f>HYPERLINK("https://klasma.github.io/Logging_1082/tillsynsmail/A 5497-2022 tillsynsbegäran mail.docx", "A 5497-2022")</f>
        <v/>
      </c>
    </row>
    <row r="65" ht="15" customHeight="1">
      <c r="A65" t="inlineStr">
        <is>
          <t>A 14598-2022</t>
        </is>
      </c>
      <c r="B65" s="1" t="n">
        <v>44655</v>
      </c>
      <c r="C65" s="1" t="n">
        <v>45231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HYPERLINK("https://klasma.github.io/Logging_1082/artfynd/A 14598-2022 artfynd.xlsx", "A 14598-2022")</f>
        <v/>
      </c>
      <c r="T65">
        <f>HYPERLINK("https://klasma.github.io/Logging_1082/kartor/A 14598-2022 karta.png", "A 14598-2022")</f>
        <v/>
      </c>
      <c r="V65">
        <f>HYPERLINK("https://klasma.github.io/Logging_1082/klagomål/A 14598-2022 FSC-klagomål.docx", "A 14598-2022")</f>
        <v/>
      </c>
      <c r="W65">
        <f>HYPERLINK("https://klasma.github.io/Logging_1082/klagomålsmail/A 14598-2022 FSC-klagomål mail.docx", "A 14598-2022")</f>
        <v/>
      </c>
      <c r="X65">
        <f>HYPERLINK("https://klasma.github.io/Logging_1082/tillsyn/A 14598-2022 tillsynsbegäran.docx", "A 14598-2022")</f>
        <v/>
      </c>
      <c r="Y65">
        <f>HYPERLINK("https://klasma.github.io/Logging_1082/tillsynsmail/A 14598-2022 tillsynsbegäran mail.docx", "A 14598-2022")</f>
        <v/>
      </c>
    </row>
    <row r="66" ht="15" customHeight="1">
      <c r="A66" t="inlineStr">
        <is>
          <t>A 24816-2022</t>
        </is>
      </c>
      <c r="B66" s="1" t="n">
        <v>44728</v>
      </c>
      <c r="C66" s="1" t="n">
        <v>45231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HYPERLINK("https://klasma.github.io/Logging_1080/artfynd/A 24816-2022 artfynd.xlsx", "A 24816-2022")</f>
        <v/>
      </c>
      <c r="T66">
        <f>HYPERLINK("https://klasma.github.io/Logging_1080/kartor/A 24816-2022 karta.png", "A 24816-2022")</f>
        <v/>
      </c>
      <c r="V66">
        <f>HYPERLINK("https://klasma.github.io/Logging_1080/klagomål/A 24816-2022 FSC-klagomål.docx", "A 24816-2022")</f>
        <v/>
      </c>
      <c r="W66">
        <f>HYPERLINK("https://klasma.github.io/Logging_1080/klagomålsmail/A 24816-2022 FSC-klagomål mail.docx", "A 24816-2022")</f>
        <v/>
      </c>
      <c r="X66">
        <f>HYPERLINK("https://klasma.github.io/Logging_1080/tillsyn/A 24816-2022 tillsynsbegäran.docx", "A 24816-2022")</f>
        <v/>
      </c>
      <c r="Y66">
        <f>HYPERLINK("https://klasma.github.io/Logging_1080/tillsynsmail/A 24816-2022 tillsynsbegäran mail.docx", "A 24816-2022")</f>
        <v/>
      </c>
    </row>
    <row r="67" ht="15" customHeight="1">
      <c r="A67" t="inlineStr">
        <is>
          <t>A 27704-2022</t>
        </is>
      </c>
      <c r="B67" s="1" t="n">
        <v>44743</v>
      </c>
      <c r="C67" s="1" t="n">
        <v>45231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0.7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HYPERLINK("https://klasma.github.io/Logging_1082/artfynd/A 27704-2022 artfynd.xlsx", "A 27704-2022")</f>
        <v/>
      </c>
      <c r="T67">
        <f>HYPERLINK("https://klasma.github.io/Logging_1082/kartor/A 27704-2022 karta.png", "A 27704-2022")</f>
        <v/>
      </c>
      <c r="V67">
        <f>HYPERLINK("https://klasma.github.io/Logging_1082/klagomål/A 27704-2022 FSC-klagomål.docx", "A 27704-2022")</f>
        <v/>
      </c>
      <c r="W67">
        <f>HYPERLINK("https://klasma.github.io/Logging_1082/klagomålsmail/A 27704-2022 FSC-klagomål mail.docx", "A 27704-2022")</f>
        <v/>
      </c>
      <c r="X67">
        <f>HYPERLINK("https://klasma.github.io/Logging_1082/tillsyn/A 27704-2022 tillsynsbegäran.docx", "A 27704-2022")</f>
        <v/>
      </c>
      <c r="Y67">
        <f>HYPERLINK("https://klasma.github.io/Logging_1082/tillsynsmail/A 27704-2022 tillsynsbegäran mail.docx", "A 27704-2022")</f>
        <v/>
      </c>
    </row>
    <row r="68" ht="15" customHeight="1">
      <c r="A68" t="inlineStr">
        <is>
          <t>A 43368-2022</t>
        </is>
      </c>
      <c r="B68" s="1" t="n">
        <v>44834</v>
      </c>
      <c r="C68" s="1" t="n">
        <v>45231</v>
      </c>
      <c r="D68" t="inlineStr">
        <is>
          <t>BLEKINGE LÄN</t>
        </is>
      </c>
      <c r="E68" t="inlineStr">
        <is>
          <t>OLOFSTRÖM</t>
        </is>
      </c>
      <c r="G68" t="n">
        <v>4.1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Mandelriska</t>
        </is>
      </c>
      <c r="S68">
        <f>HYPERLINK("https://klasma.github.io/Logging_1060/artfynd/A 43368-2022 artfynd.xlsx", "A 43368-2022")</f>
        <v/>
      </c>
      <c r="T68">
        <f>HYPERLINK("https://klasma.github.io/Logging_1060/kartor/A 43368-2022 karta.png", "A 43368-2022")</f>
        <v/>
      </c>
      <c r="V68">
        <f>HYPERLINK("https://klasma.github.io/Logging_1060/klagomål/A 43368-2022 FSC-klagomål.docx", "A 43368-2022")</f>
        <v/>
      </c>
      <c r="W68">
        <f>HYPERLINK("https://klasma.github.io/Logging_1060/klagomålsmail/A 43368-2022 FSC-klagomål mail.docx", "A 43368-2022")</f>
        <v/>
      </c>
      <c r="X68">
        <f>HYPERLINK("https://klasma.github.io/Logging_1060/tillsyn/A 43368-2022 tillsynsbegäran.docx", "A 43368-2022")</f>
        <v/>
      </c>
      <c r="Y68">
        <f>HYPERLINK("https://klasma.github.io/Logging_1060/tillsynsmail/A 43368-2022 tillsynsbegäran mail.docx", "A 43368-2022")</f>
        <v/>
      </c>
    </row>
    <row r="69" ht="15" customHeight="1">
      <c r="A69" t="inlineStr">
        <is>
          <t>A 53806-2022</t>
        </is>
      </c>
      <c r="B69" s="1" t="n">
        <v>44880</v>
      </c>
      <c r="C69" s="1" t="n">
        <v>45231</v>
      </c>
      <c r="D69" t="inlineStr">
        <is>
          <t>BLEKINGE LÄN</t>
        </is>
      </c>
      <c r="E69" t="inlineStr">
        <is>
          <t>OLOFSTRÖM</t>
        </is>
      </c>
      <c r="G69" t="n">
        <v>11.5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HYPERLINK("https://klasma.github.io/Logging_1060/artfynd/A 53806-2022 artfynd.xlsx", "A 53806-2022")</f>
        <v/>
      </c>
      <c r="T69">
        <f>HYPERLINK("https://klasma.github.io/Logging_1060/kartor/A 53806-2022 karta.png", "A 53806-2022")</f>
        <v/>
      </c>
      <c r="V69">
        <f>HYPERLINK("https://klasma.github.io/Logging_1060/klagomål/A 53806-2022 FSC-klagomål.docx", "A 53806-2022")</f>
        <v/>
      </c>
      <c r="W69">
        <f>HYPERLINK("https://klasma.github.io/Logging_1060/klagomålsmail/A 53806-2022 FSC-klagomål mail.docx", "A 53806-2022")</f>
        <v/>
      </c>
      <c r="X69">
        <f>HYPERLINK("https://klasma.github.io/Logging_1060/tillsyn/A 53806-2022 tillsynsbegäran.docx", "A 53806-2022")</f>
        <v/>
      </c>
      <c r="Y69">
        <f>HYPERLINK("https://klasma.github.io/Logging_1060/tillsynsmail/A 53806-2022 tillsynsbegäran mail.docx", "A 53806-2022")</f>
        <v/>
      </c>
    </row>
    <row r="70" ht="15" customHeight="1">
      <c r="A70" t="inlineStr">
        <is>
          <t>A 58405-2022</t>
        </is>
      </c>
      <c r="B70" s="1" t="n">
        <v>44901</v>
      </c>
      <c r="C70" s="1" t="n">
        <v>45231</v>
      </c>
      <c r="D70" t="inlineStr">
        <is>
          <t>BLEKINGE LÄN</t>
        </is>
      </c>
      <c r="E70" t="inlineStr">
        <is>
          <t>KARLSHAMN</t>
        </is>
      </c>
      <c r="F70" t="inlineStr">
        <is>
          <t>Kommuner</t>
        </is>
      </c>
      <c r="G70" t="n">
        <v>1.2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Grönsångare</t>
        </is>
      </c>
      <c r="S70">
        <f>HYPERLINK("https://klasma.github.io/Logging_1082/artfynd/A 58405-2022 artfynd.xlsx", "A 58405-2022")</f>
        <v/>
      </c>
      <c r="T70">
        <f>HYPERLINK("https://klasma.github.io/Logging_1082/kartor/A 58405-2022 karta.png", "A 58405-2022")</f>
        <v/>
      </c>
      <c r="V70">
        <f>HYPERLINK("https://klasma.github.io/Logging_1082/klagomål/A 58405-2022 FSC-klagomål.docx", "A 58405-2022")</f>
        <v/>
      </c>
      <c r="W70">
        <f>HYPERLINK("https://klasma.github.io/Logging_1082/klagomålsmail/A 58405-2022 FSC-klagomål mail.docx", "A 58405-2022")</f>
        <v/>
      </c>
      <c r="X70">
        <f>HYPERLINK("https://klasma.github.io/Logging_1082/tillsyn/A 58405-2022 tillsynsbegäran.docx", "A 58405-2022")</f>
        <v/>
      </c>
      <c r="Y70">
        <f>HYPERLINK("https://klasma.github.io/Logging_1082/tillsynsmail/A 58405-2022 tillsynsbegäran mail.docx", "A 58405-2022")</f>
        <v/>
      </c>
    </row>
    <row r="71" ht="15" customHeight="1">
      <c r="A71" t="inlineStr">
        <is>
          <t>A 2573-2023</t>
        </is>
      </c>
      <c r="B71" s="1" t="n">
        <v>44943</v>
      </c>
      <c r="C71" s="1" t="n">
        <v>45231</v>
      </c>
      <c r="D71" t="inlineStr">
        <is>
          <t>BLEKINGE LÄN</t>
        </is>
      </c>
      <c r="E71" t="inlineStr">
        <is>
          <t>KARLSHAMN</t>
        </is>
      </c>
      <c r="G71" t="n">
        <v>2.3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Lömsk flugsvamp</t>
        </is>
      </c>
      <c r="S71">
        <f>HYPERLINK("https://klasma.github.io/Logging_1082/artfynd/A 2573-2023 artfynd.xlsx", "A 2573-2023")</f>
        <v/>
      </c>
      <c r="T71">
        <f>HYPERLINK("https://klasma.github.io/Logging_1082/kartor/A 2573-2023 karta.png", "A 2573-2023")</f>
        <v/>
      </c>
      <c r="V71">
        <f>HYPERLINK("https://klasma.github.io/Logging_1082/klagomål/A 2573-2023 FSC-klagomål.docx", "A 2573-2023")</f>
        <v/>
      </c>
      <c r="W71">
        <f>HYPERLINK("https://klasma.github.io/Logging_1082/klagomålsmail/A 2573-2023 FSC-klagomål mail.docx", "A 2573-2023")</f>
        <v/>
      </c>
      <c r="X71">
        <f>HYPERLINK("https://klasma.github.io/Logging_1082/tillsyn/A 2573-2023 tillsynsbegäran.docx", "A 2573-2023")</f>
        <v/>
      </c>
      <c r="Y71">
        <f>HYPERLINK("https://klasma.github.io/Logging_1082/tillsynsmail/A 2573-2023 tillsynsbegäran mail.docx", "A 2573-2023")</f>
        <v/>
      </c>
    </row>
    <row r="72" ht="15" customHeight="1">
      <c r="A72" t="inlineStr">
        <is>
          <t>A 4028-2023</t>
        </is>
      </c>
      <c r="B72" s="1" t="n">
        <v>44952</v>
      </c>
      <c r="C72" s="1" t="n">
        <v>45231</v>
      </c>
      <c r="D72" t="inlineStr">
        <is>
          <t>BLEKINGE LÄN</t>
        </is>
      </c>
      <c r="E72" t="inlineStr">
        <is>
          <t>RONNEBY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Hasselmus</t>
        </is>
      </c>
      <c r="S72">
        <f>HYPERLINK("https://klasma.github.io/Logging_1081/artfynd/A 4028-2023 artfynd.xlsx", "A 4028-2023")</f>
        <v/>
      </c>
      <c r="T72">
        <f>HYPERLINK("https://klasma.github.io/Logging_1081/kartor/A 4028-2023 karta.png", "A 4028-2023")</f>
        <v/>
      </c>
      <c r="V72">
        <f>HYPERLINK("https://klasma.github.io/Logging_1081/klagomål/A 4028-2023 FSC-klagomål.docx", "A 4028-2023")</f>
        <v/>
      </c>
      <c r="W72">
        <f>HYPERLINK("https://klasma.github.io/Logging_1081/klagomålsmail/A 4028-2023 FSC-klagomål mail.docx", "A 4028-2023")</f>
        <v/>
      </c>
      <c r="X72">
        <f>HYPERLINK("https://klasma.github.io/Logging_1081/tillsyn/A 4028-2023 tillsynsbegäran.docx", "A 4028-2023")</f>
        <v/>
      </c>
      <c r="Y72">
        <f>HYPERLINK("https://klasma.github.io/Logging_1081/tillsynsmail/A 4028-2023 tillsynsbegäran mail.docx", "A 4028-2023")</f>
        <v/>
      </c>
    </row>
    <row r="73" ht="15" customHeight="1">
      <c r="A73" t="inlineStr">
        <is>
          <t>A 10064-2023</t>
        </is>
      </c>
      <c r="B73" s="1" t="n">
        <v>44985</v>
      </c>
      <c r="C73" s="1" t="n">
        <v>45231</v>
      </c>
      <c r="D73" t="inlineStr">
        <is>
          <t>BLEKINGE LÄN</t>
        </is>
      </c>
      <c r="E73" t="inlineStr">
        <is>
          <t>RONNEBY</t>
        </is>
      </c>
      <c r="G73" t="n">
        <v>2.6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Sexfläckig blombock</t>
        </is>
      </c>
      <c r="S73">
        <f>HYPERLINK("https://klasma.github.io/Logging_1081/artfynd/A 10064-2023 artfynd.xlsx", "A 10064-2023")</f>
        <v/>
      </c>
      <c r="T73">
        <f>HYPERLINK("https://klasma.github.io/Logging_1081/kartor/A 10064-2023 karta.png", "A 10064-2023")</f>
        <v/>
      </c>
      <c r="V73">
        <f>HYPERLINK("https://klasma.github.io/Logging_1081/klagomål/A 10064-2023 FSC-klagomål.docx", "A 10064-2023")</f>
        <v/>
      </c>
      <c r="W73">
        <f>HYPERLINK("https://klasma.github.io/Logging_1081/klagomålsmail/A 10064-2023 FSC-klagomål mail.docx", "A 10064-2023")</f>
        <v/>
      </c>
      <c r="X73">
        <f>HYPERLINK("https://klasma.github.io/Logging_1081/tillsyn/A 10064-2023 tillsynsbegäran.docx", "A 10064-2023")</f>
        <v/>
      </c>
      <c r="Y73">
        <f>HYPERLINK("https://klasma.github.io/Logging_1081/tillsynsmail/A 10064-2023 tillsynsbegäran mail.docx", "A 10064-2023")</f>
        <v/>
      </c>
    </row>
    <row r="74" ht="15" customHeight="1">
      <c r="A74" t="inlineStr">
        <is>
          <t>A 12131-2023</t>
        </is>
      </c>
      <c r="B74" s="1" t="n">
        <v>44998</v>
      </c>
      <c r="C74" s="1" t="n">
        <v>45231</v>
      </c>
      <c r="D74" t="inlineStr">
        <is>
          <t>BLEKINGE LÄN</t>
        </is>
      </c>
      <c r="E74" t="inlineStr">
        <is>
          <t>RONNEBY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Svarthakad buskskvätta</t>
        </is>
      </c>
      <c r="S74">
        <f>HYPERLINK("https://klasma.github.io/Logging_1081/artfynd/A 12131-2023 artfynd.xlsx", "A 12131-2023")</f>
        <v/>
      </c>
      <c r="T74">
        <f>HYPERLINK("https://klasma.github.io/Logging_1081/kartor/A 12131-2023 karta.png", "A 12131-2023")</f>
        <v/>
      </c>
      <c r="V74">
        <f>HYPERLINK("https://klasma.github.io/Logging_1081/klagomål/A 12131-2023 FSC-klagomål.docx", "A 12131-2023")</f>
        <v/>
      </c>
      <c r="W74">
        <f>HYPERLINK("https://klasma.github.io/Logging_1081/klagomålsmail/A 12131-2023 FSC-klagomål mail.docx", "A 12131-2023")</f>
        <v/>
      </c>
      <c r="X74">
        <f>HYPERLINK("https://klasma.github.io/Logging_1081/tillsyn/A 12131-2023 tillsynsbegäran.docx", "A 12131-2023")</f>
        <v/>
      </c>
      <c r="Y74">
        <f>HYPERLINK("https://klasma.github.io/Logging_1081/tillsynsmail/A 12131-2023 tillsynsbegäran mail.docx", "A 12131-2023")</f>
        <v/>
      </c>
    </row>
    <row r="75" ht="15" customHeight="1">
      <c r="A75" t="inlineStr">
        <is>
          <t>A 14940-2023</t>
        </is>
      </c>
      <c r="B75" s="1" t="n">
        <v>45012</v>
      </c>
      <c r="C75" s="1" t="n">
        <v>45231</v>
      </c>
      <c r="D75" t="inlineStr">
        <is>
          <t>BLEKINGE LÄN</t>
        </is>
      </c>
      <c r="E75" t="inlineStr">
        <is>
          <t>RONNEBY</t>
        </is>
      </c>
      <c r="F75" t="inlineStr">
        <is>
          <t>Övriga statliga verk och myndigheter</t>
        </is>
      </c>
      <c r="G75" t="n">
        <v>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HYPERLINK("https://klasma.github.io/Logging_1081/artfynd/A 14940-2023 artfynd.xlsx", "A 14940-2023")</f>
        <v/>
      </c>
      <c r="T75">
        <f>HYPERLINK("https://klasma.github.io/Logging_1081/kartor/A 14940-2023 karta.png", "A 14940-2023")</f>
        <v/>
      </c>
      <c r="V75">
        <f>HYPERLINK("https://klasma.github.io/Logging_1081/klagomål/A 14940-2023 FSC-klagomål.docx", "A 14940-2023")</f>
        <v/>
      </c>
      <c r="W75">
        <f>HYPERLINK("https://klasma.github.io/Logging_1081/klagomålsmail/A 14940-2023 FSC-klagomål mail.docx", "A 14940-2023")</f>
        <v/>
      </c>
      <c r="X75">
        <f>HYPERLINK("https://klasma.github.io/Logging_1081/tillsyn/A 14940-2023 tillsynsbegäran.docx", "A 14940-2023")</f>
        <v/>
      </c>
      <c r="Y75">
        <f>HYPERLINK("https://klasma.github.io/Logging_1081/tillsynsmail/A 14940-2023 tillsynsbegäran mail.docx", "A 14940-2023")</f>
        <v/>
      </c>
    </row>
    <row r="76" ht="15" customHeight="1">
      <c r="A76" t="inlineStr">
        <is>
          <t>A 16893-2023</t>
        </is>
      </c>
      <c r="B76" s="1" t="n">
        <v>45028</v>
      </c>
      <c r="C76" s="1" t="n">
        <v>45231</v>
      </c>
      <c r="D76" t="inlineStr">
        <is>
          <t>BLEKINGE LÄN</t>
        </is>
      </c>
      <c r="E76" t="inlineStr">
        <is>
          <t>KARLSHAMN</t>
        </is>
      </c>
      <c r="G76" t="n">
        <v>10.7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Stortimjan</t>
        </is>
      </c>
      <c r="S76">
        <f>HYPERLINK("https://klasma.github.io/Logging_1082/artfynd/A 16893-2023 artfynd.xlsx", "A 16893-2023")</f>
        <v/>
      </c>
      <c r="T76">
        <f>HYPERLINK("https://klasma.github.io/Logging_1082/kartor/A 16893-2023 karta.png", "A 16893-2023")</f>
        <v/>
      </c>
      <c r="V76">
        <f>HYPERLINK("https://klasma.github.io/Logging_1082/klagomål/A 16893-2023 FSC-klagomål.docx", "A 16893-2023")</f>
        <v/>
      </c>
      <c r="W76">
        <f>HYPERLINK("https://klasma.github.io/Logging_1082/klagomålsmail/A 16893-2023 FSC-klagomål mail.docx", "A 16893-2023")</f>
        <v/>
      </c>
      <c r="X76">
        <f>HYPERLINK("https://klasma.github.io/Logging_1082/tillsyn/A 16893-2023 tillsynsbegäran.docx", "A 16893-2023")</f>
        <v/>
      </c>
      <c r="Y76">
        <f>HYPERLINK("https://klasma.github.io/Logging_1082/tillsynsmail/A 16893-2023 tillsynsbegäran mail.docx", "A 16893-2023")</f>
        <v/>
      </c>
    </row>
    <row r="77" ht="15" customHeight="1">
      <c r="A77" t="inlineStr">
        <is>
          <t>A 17849-2023</t>
        </is>
      </c>
      <c r="B77" s="1" t="n">
        <v>45037</v>
      </c>
      <c r="C77" s="1" t="n">
        <v>45231</v>
      </c>
      <c r="D77" t="inlineStr">
        <is>
          <t>BLEKINGE LÄN</t>
        </is>
      </c>
      <c r="E77" t="inlineStr">
        <is>
          <t>KARLSKRONA</t>
        </is>
      </c>
      <c r="F77" t="inlineStr">
        <is>
          <t>Kommuner</t>
        </is>
      </c>
      <c r="G77" t="n">
        <v>10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Vätteros</t>
        </is>
      </c>
      <c r="S77">
        <f>HYPERLINK("https://klasma.github.io/Logging_1080/artfynd/A 17849-2023 artfynd.xlsx", "A 17849-2023")</f>
        <v/>
      </c>
      <c r="T77">
        <f>HYPERLINK("https://klasma.github.io/Logging_1080/kartor/A 17849-2023 karta.png", "A 17849-2023")</f>
        <v/>
      </c>
      <c r="V77">
        <f>HYPERLINK("https://klasma.github.io/Logging_1080/klagomål/A 17849-2023 FSC-klagomål.docx", "A 17849-2023")</f>
        <v/>
      </c>
      <c r="W77">
        <f>HYPERLINK("https://klasma.github.io/Logging_1080/klagomålsmail/A 17849-2023 FSC-klagomål mail.docx", "A 17849-2023")</f>
        <v/>
      </c>
      <c r="X77">
        <f>HYPERLINK("https://klasma.github.io/Logging_1080/tillsyn/A 17849-2023 tillsynsbegäran.docx", "A 17849-2023")</f>
        <v/>
      </c>
      <c r="Y77">
        <f>HYPERLINK("https://klasma.github.io/Logging_1080/tillsynsmail/A 17849-2023 tillsynsbegäran mail.docx", "A 17849-2023")</f>
        <v/>
      </c>
    </row>
    <row r="78" ht="15" customHeight="1">
      <c r="A78" t="inlineStr">
        <is>
          <t>A 21769-2023</t>
        </is>
      </c>
      <c r="B78" s="1" t="n">
        <v>45065</v>
      </c>
      <c r="C78" s="1" t="n">
        <v>45231</v>
      </c>
      <c r="D78" t="inlineStr">
        <is>
          <t>BLEKINGE LÄN</t>
        </is>
      </c>
      <c r="E78" t="inlineStr">
        <is>
          <t>SÖLVESBORG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1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Skogsalm</t>
        </is>
      </c>
      <c r="S78">
        <f>HYPERLINK("https://klasma.github.io/Logging_1083/artfynd/A 21769-2023 artfynd.xlsx", "A 21769-2023")</f>
        <v/>
      </c>
      <c r="T78">
        <f>HYPERLINK("https://klasma.github.io/Logging_1083/kartor/A 21769-2023 karta.png", "A 21769-2023")</f>
        <v/>
      </c>
      <c r="V78">
        <f>HYPERLINK("https://klasma.github.io/Logging_1083/klagomål/A 21769-2023 FSC-klagomål.docx", "A 21769-2023")</f>
        <v/>
      </c>
      <c r="W78">
        <f>HYPERLINK("https://klasma.github.io/Logging_1083/klagomålsmail/A 21769-2023 FSC-klagomål mail.docx", "A 21769-2023")</f>
        <v/>
      </c>
      <c r="X78">
        <f>HYPERLINK("https://klasma.github.io/Logging_1083/tillsyn/A 21769-2023 tillsynsbegäran.docx", "A 21769-2023")</f>
        <v/>
      </c>
      <c r="Y78">
        <f>HYPERLINK("https://klasma.github.io/Logging_1083/tillsynsmail/A 21769-2023 tillsynsbegäran mail.docx", "A 21769-2023")</f>
        <v/>
      </c>
    </row>
    <row r="79" ht="15" customHeight="1">
      <c r="A79" t="inlineStr">
        <is>
          <t>A 27979-2023</t>
        </is>
      </c>
      <c r="B79" s="1" t="n">
        <v>45098</v>
      </c>
      <c r="C79" s="1" t="n">
        <v>45231</v>
      </c>
      <c r="D79" t="inlineStr">
        <is>
          <t>BLEKINGE LÄN</t>
        </is>
      </c>
      <c r="E79" t="inlineStr">
        <is>
          <t>OLOFSTRÖM</t>
        </is>
      </c>
      <c r="G79" t="n">
        <v>1.9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HYPERLINK("https://klasma.github.io/Logging_1060/artfynd/A 27979-2023 artfynd.xlsx", "A 27979-2023")</f>
        <v/>
      </c>
      <c r="T79">
        <f>HYPERLINK("https://klasma.github.io/Logging_1060/kartor/A 27979-2023 karta.png", "A 27979-2023")</f>
        <v/>
      </c>
      <c r="V79">
        <f>HYPERLINK("https://klasma.github.io/Logging_1060/klagomål/A 27979-2023 FSC-klagomål.docx", "A 27979-2023")</f>
        <v/>
      </c>
      <c r="W79">
        <f>HYPERLINK("https://klasma.github.io/Logging_1060/klagomålsmail/A 27979-2023 FSC-klagomål mail.docx", "A 27979-2023")</f>
        <v/>
      </c>
      <c r="X79">
        <f>HYPERLINK("https://klasma.github.io/Logging_1060/tillsyn/A 27979-2023 tillsynsbegäran.docx", "A 27979-2023")</f>
        <v/>
      </c>
      <c r="Y79">
        <f>HYPERLINK("https://klasma.github.io/Logging_1060/tillsynsmail/A 27979-2023 tillsynsbegäran mail.docx", "A 27979-2023")</f>
        <v/>
      </c>
    </row>
    <row r="80" ht="15" customHeight="1">
      <c r="A80" t="inlineStr">
        <is>
          <t>A 33549-2023</t>
        </is>
      </c>
      <c r="B80" s="1" t="n">
        <v>45118</v>
      </c>
      <c r="C80" s="1" t="n">
        <v>45231</v>
      </c>
      <c r="D80" t="inlineStr">
        <is>
          <t>BLEKINGE LÄN</t>
        </is>
      </c>
      <c r="E80" t="inlineStr">
        <is>
          <t>KARLSHAMN</t>
        </is>
      </c>
      <c r="G80" t="n">
        <v>1.6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Fjällsopp</t>
        </is>
      </c>
      <c r="S80">
        <f>HYPERLINK("https://klasma.github.io/Logging_1082/artfynd/A 33549-2023 artfynd.xlsx", "A 33549-2023")</f>
        <v/>
      </c>
      <c r="T80">
        <f>HYPERLINK("https://klasma.github.io/Logging_1082/kartor/A 33549-2023 karta.png", "A 33549-2023")</f>
        <v/>
      </c>
      <c r="V80">
        <f>HYPERLINK("https://klasma.github.io/Logging_1082/klagomål/A 33549-2023 FSC-klagomål.docx", "A 33549-2023")</f>
        <v/>
      </c>
      <c r="W80">
        <f>HYPERLINK("https://klasma.github.io/Logging_1082/klagomålsmail/A 33549-2023 FSC-klagomål mail.docx", "A 33549-2023")</f>
        <v/>
      </c>
      <c r="X80">
        <f>HYPERLINK("https://klasma.github.io/Logging_1082/tillsyn/A 33549-2023 tillsynsbegäran.docx", "A 33549-2023")</f>
        <v/>
      </c>
      <c r="Y80">
        <f>HYPERLINK("https://klasma.github.io/Logging_1082/tillsynsmail/A 33549-2023 tillsynsbegäran mail.docx", "A 33549-2023")</f>
        <v/>
      </c>
    </row>
    <row r="81" ht="15" customHeight="1">
      <c r="A81" t="inlineStr">
        <is>
          <t>A 32281-2023</t>
        </is>
      </c>
      <c r="B81" s="1" t="n">
        <v>45120</v>
      </c>
      <c r="C81" s="1" t="n">
        <v>45231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9.1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HYPERLINK("https://klasma.github.io/Logging_1081/artfynd/A 32281-2023 artfynd.xlsx", "A 32281-2023")</f>
        <v/>
      </c>
      <c r="T81">
        <f>HYPERLINK("https://klasma.github.io/Logging_1081/kartor/A 32281-2023 karta.png", "A 32281-2023")</f>
        <v/>
      </c>
      <c r="U81">
        <f>HYPERLINK("https://klasma.github.io/Logging_1081/knärot/A 32281-2023 karta knärot.png", "A 32281-2023")</f>
        <v/>
      </c>
      <c r="V81">
        <f>HYPERLINK("https://klasma.github.io/Logging_1081/klagomål/A 32281-2023 FSC-klagomål.docx", "A 32281-2023")</f>
        <v/>
      </c>
      <c r="W81">
        <f>HYPERLINK("https://klasma.github.io/Logging_1081/klagomålsmail/A 32281-2023 FSC-klagomål mail.docx", "A 32281-2023")</f>
        <v/>
      </c>
      <c r="X81">
        <f>HYPERLINK("https://klasma.github.io/Logging_1081/tillsyn/A 32281-2023 tillsynsbegäran.docx", "A 32281-2023")</f>
        <v/>
      </c>
      <c r="Y81">
        <f>HYPERLINK("https://klasma.github.io/Logging_1081/tillsynsmail/A 32281-2023 tillsynsbegäran mail.docx", "A 32281-2023")</f>
        <v/>
      </c>
    </row>
    <row r="82" ht="15" customHeight="1">
      <c r="A82" t="inlineStr">
        <is>
          <t>A 35060-2023</t>
        </is>
      </c>
      <c r="B82" s="1" t="n">
        <v>45145</v>
      </c>
      <c r="C82" s="1" t="n">
        <v>45231</v>
      </c>
      <c r="D82" t="inlineStr">
        <is>
          <t>BLEKINGE LÄN</t>
        </is>
      </c>
      <c r="E82" t="inlineStr">
        <is>
          <t>RONNEBY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Grönhjon</t>
        </is>
      </c>
      <c r="S82">
        <f>HYPERLINK("https://klasma.github.io/Logging_1081/artfynd/A 35060-2023 artfynd.xlsx", "A 35060-2023")</f>
        <v/>
      </c>
      <c r="T82">
        <f>HYPERLINK("https://klasma.github.io/Logging_1081/kartor/A 35060-2023 karta.png", "A 35060-2023")</f>
        <v/>
      </c>
      <c r="V82">
        <f>HYPERLINK("https://klasma.github.io/Logging_1081/klagomål/A 35060-2023 FSC-klagomål.docx", "A 35060-2023")</f>
        <v/>
      </c>
      <c r="W82">
        <f>HYPERLINK("https://klasma.github.io/Logging_1081/klagomålsmail/A 35060-2023 FSC-klagomål mail.docx", "A 35060-2023")</f>
        <v/>
      </c>
      <c r="X82">
        <f>HYPERLINK("https://klasma.github.io/Logging_1081/tillsyn/A 35060-2023 tillsynsbegäran.docx", "A 35060-2023")</f>
        <v/>
      </c>
      <c r="Y82">
        <f>HYPERLINK("https://klasma.github.io/Logging_1081/tillsynsmail/A 35060-2023 tillsynsbegäran mail.docx", "A 35060-2023")</f>
        <v/>
      </c>
    </row>
    <row r="83" ht="15" customHeight="1">
      <c r="A83" t="inlineStr">
        <is>
          <t>A 36463-2023</t>
        </is>
      </c>
      <c r="B83" s="1" t="n">
        <v>45152</v>
      </c>
      <c r="C83" s="1" t="n">
        <v>45231</v>
      </c>
      <c r="D83" t="inlineStr">
        <is>
          <t>BLEKINGE LÄN</t>
        </is>
      </c>
      <c r="E83" t="inlineStr">
        <is>
          <t>RONNEBY</t>
        </is>
      </c>
      <c r="G83" t="n">
        <v>2.2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Murgröna</t>
        </is>
      </c>
      <c r="S83">
        <f>HYPERLINK("https://klasma.github.io/Logging_1081/artfynd/A 36463-2023 artfynd.xlsx", "A 36463-2023")</f>
        <v/>
      </c>
      <c r="T83">
        <f>HYPERLINK("https://klasma.github.io/Logging_1081/kartor/A 36463-2023 karta.png", "A 36463-2023")</f>
        <v/>
      </c>
      <c r="V83">
        <f>HYPERLINK("https://klasma.github.io/Logging_1081/klagomål/A 36463-2023 FSC-klagomål.docx", "A 36463-2023")</f>
        <v/>
      </c>
      <c r="W83">
        <f>HYPERLINK("https://klasma.github.io/Logging_1081/klagomålsmail/A 36463-2023 FSC-klagomål mail.docx", "A 36463-2023")</f>
        <v/>
      </c>
      <c r="X83">
        <f>HYPERLINK("https://klasma.github.io/Logging_1081/tillsyn/A 36463-2023 tillsynsbegäran.docx", "A 36463-2023")</f>
        <v/>
      </c>
      <c r="Y83">
        <f>HYPERLINK("https://klasma.github.io/Logging_1081/tillsynsmail/A 36463-2023 tillsynsbegäran mail.docx", "A 36463-2023")</f>
        <v/>
      </c>
    </row>
    <row r="84" ht="15" customHeight="1">
      <c r="A84" t="inlineStr">
        <is>
          <t>A 34377-2018</t>
        </is>
      </c>
      <c r="B84" s="1" t="n">
        <v>43319</v>
      </c>
      <c r="C84" s="1" t="n">
        <v>45231</v>
      </c>
      <c r="D84" t="inlineStr">
        <is>
          <t>BLEKINGE LÄN</t>
        </is>
      </c>
      <c r="E84" t="inlineStr">
        <is>
          <t>RONNEBY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34621-2018</t>
        </is>
      </c>
      <c r="B85" s="1" t="n">
        <v>43320</v>
      </c>
      <c r="C85" s="1" t="n">
        <v>45231</v>
      </c>
      <c r="D85" t="inlineStr">
        <is>
          <t>BLEKINGE LÄN</t>
        </is>
      </c>
      <c r="E85" t="inlineStr">
        <is>
          <t>KARLSHAMN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34662-2018</t>
        </is>
      </c>
      <c r="B86" s="1" t="n">
        <v>43320</v>
      </c>
      <c r="C86" s="1" t="n">
        <v>45231</v>
      </c>
      <c r="D86" t="inlineStr">
        <is>
          <t>BLEKINGE LÄN</t>
        </is>
      </c>
      <c r="E86" t="inlineStr">
        <is>
          <t>KARLSHAMN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34632-2018</t>
        </is>
      </c>
      <c r="B87" s="1" t="n">
        <v>43320</v>
      </c>
      <c r="C87" s="1" t="n">
        <v>45231</v>
      </c>
      <c r="D87" t="inlineStr">
        <is>
          <t>BLEKINGE LÄN</t>
        </is>
      </c>
      <c r="E87" t="inlineStr">
        <is>
          <t>KARLSHAMN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34886-2018</t>
        </is>
      </c>
      <c r="B88" s="1" t="n">
        <v>43321</v>
      </c>
      <c r="C88" s="1" t="n">
        <v>45231</v>
      </c>
      <c r="D88" t="inlineStr">
        <is>
          <t>BLEKINGE LÄN</t>
        </is>
      </c>
      <c r="E88" t="inlineStr">
        <is>
          <t>KARLSKRONA</t>
        </is>
      </c>
      <c r="G88" t="n">
        <v>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34896-2018</t>
        </is>
      </c>
      <c r="B89" s="1" t="n">
        <v>43321</v>
      </c>
      <c r="C89" s="1" t="n">
        <v>45231</v>
      </c>
      <c r="D89" t="inlineStr">
        <is>
          <t>BLEKINGE LÄN</t>
        </is>
      </c>
      <c r="E89" t="inlineStr">
        <is>
          <t>KARLSHAMN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34894-2018</t>
        </is>
      </c>
      <c r="B90" s="1" t="n">
        <v>43321</v>
      </c>
      <c r="C90" s="1" t="n">
        <v>45231</v>
      </c>
      <c r="D90" t="inlineStr">
        <is>
          <t>BLEKINGE LÄN</t>
        </is>
      </c>
      <c r="E90" t="inlineStr">
        <is>
          <t>KARLSHAMN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35604-2018</t>
        </is>
      </c>
      <c r="B91" s="1" t="n">
        <v>43326</v>
      </c>
      <c r="C91" s="1" t="n">
        <v>45231</v>
      </c>
      <c r="D91" t="inlineStr">
        <is>
          <t>BLEKINGE LÄN</t>
        </is>
      </c>
      <c r="E91" t="inlineStr">
        <is>
          <t>SÖLVESBORG</t>
        </is>
      </c>
      <c r="G91" t="n">
        <v>26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35871-2018</t>
        </is>
      </c>
      <c r="B92" s="1" t="n">
        <v>43326</v>
      </c>
      <c r="C92" s="1" t="n">
        <v>45231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36937-2018</t>
        </is>
      </c>
      <c r="B93" s="1" t="n">
        <v>43332</v>
      </c>
      <c r="C93" s="1" t="n">
        <v>45231</v>
      </c>
      <c r="D93" t="inlineStr">
        <is>
          <t>BLEKINGE LÄN</t>
        </is>
      </c>
      <c r="E93" t="inlineStr">
        <is>
          <t>KARLSKRONA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37168-2018</t>
        </is>
      </c>
      <c r="B94" s="1" t="n">
        <v>43333</v>
      </c>
      <c r="C94" s="1" t="n">
        <v>45231</v>
      </c>
      <c r="D94" t="inlineStr">
        <is>
          <t>BLEKINGE LÄN</t>
        </is>
      </c>
      <c r="E94" t="inlineStr">
        <is>
          <t>RONNEBY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37797-2018</t>
        </is>
      </c>
      <c r="B95" s="1" t="n">
        <v>43335</v>
      </c>
      <c r="C95" s="1" t="n">
        <v>45231</v>
      </c>
      <c r="D95" t="inlineStr">
        <is>
          <t>BLEKINGE LÄN</t>
        </is>
      </c>
      <c r="E95" t="inlineStr">
        <is>
          <t>KARLSKRONA</t>
        </is>
      </c>
      <c r="G95" t="n">
        <v>22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39754-2018</t>
        </is>
      </c>
      <c r="B96" s="1" t="n">
        <v>43341</v>
      </c>
      <c r="C96" s="1" t="n">
        <v>45231</v>
      </c>
      <c r="D96" t="inlineStr">
        <is>
          <t>BLEKINGE LÄN</t>
        </is>
      </c>
      <c r="E96" t="inlineStr">
        <is>
          <t>RONNEBY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39243-2018</t>
        </is>
      </c>
      <c r="B97" s="1" t="n">
        <v>43341</v>
      </c>
      <c r="C97" s="1" t="n">
        <v>45231</v>
      </c>
      <c r="D97" t="inlineStr">
        <is>
          <t>BLEKINGE LÄN</t>
        </is>
      </c>
      <c r="E97" t="inlineStr">
        <is>
          <t>KARLSKRONA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39920-2018</t>
        </is>
      </c>
      <c r="B98" s="1" t="n">
        <v>43342</v>
      </c>
      <c r="C98" s="1" t="n">
        <v>45231</v>
      </c>
      <c r="D98" t="inlineStr">
        <is>
          <t>BLEKINGE LÄN</t>
        </is>
      </c>
      <c r="E98" t="inlineStr">
        <is>
          <t>KARLSKRONA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40024-2018</t>
        </is>
      </c>
      <c r="B99" s="1" t="n">
        <v>43343</v>
      </c>
      <c r="C99" s="1" t="n">
        <v>45231</v>
      </c>
      <c r="D99" t="inlineStr">
        <is>
          <t>BLEKINGE LÄN</t>
        </is>
      </c>
      <c r="E99" t="inlineStr">
        <is>
          <t>RONNEBY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40090-2018</t>
        </is>
      </c>
      <c r="B100" s="1" t="n">
        <v>43343</v>
      </c>
      <c r="C100" s="1" t="n">
        <v>45231</v>
      </c>
      <c r="D100" t="inlineStr">
        <is>
          <t>BLEKINGE LÄN</t>
        </is>
      </c>
      <c r="E100" t="inlineStr">
        <is>
          <t>KARLSHAMN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40945-2018</t>
        </is>
      </c>
      <c r="B101" s="1" t="n">
        <v>43346</v>
      </c>
      <c r="C101" s="1" t="n">
        <v>45231</v>
      </c>
      <c r="D101" t="inlineStr">
        <is>
          <t>BLEKINGE LÄN</t>
        </is>
      </c>
      <c r="E101" t="inlineStr">
        <is>
          <t>OLOFSTRÖM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40931-2018</t>
        </is>
      </c>
      <c r="B102" s="1" t="n">
        <v>43346</v>
      </c>
      <c r="C102" s="1" t="n">
        <v>45231</v>
      </c>
      <c r="D102" t="inlineStr">
        <is>
          <t>BLEKINGE LÄN</t>
        </is>
      </c>
      <c r="E102" t="inlineStr">
        <is>
          <t>OLOFSTRÖM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40955-2018</t>
        </is>
      </c>
      <c r="B103" s="1" t="n">
        <v>43346</v>
      </c>
      <c r="C103" s="1" t="n">
        <v>45231</v>
      </c>
      <c r="D103" t="inlineStr">
        <is>
          <t>BLEKINGE LÄN</t>
        </is>
      </c>
      <c r="E103" t="inlineStr">
        <is>
          <t>OLOFSTRÖM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40912-2018</t>
        </is>
      </c>
      <c r="B104" s="1" t="n">
        <v>43347</v>
      </c>
      <c r="C104" s="1" t="n">
        <v>45231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41606-2018</t>
        </is>
      </c>
      <c r="B105" s="1" t="n">
        <v>43349</v>
      </c>
      <c r="C105" s="1" t="n">
        <v>45231</v>
      </c>
      <c r="D105" t="inlineStr">
        <is>
          <t>BLEKINGE LÄN</t>
        </is>
      </c>
      <c r="E105" t="inlineStr">
        <is>
          <t>KARLSKRONA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41751-2018</t>
        </is>
      </c>
      <c r="B106" s="1" t="n">
        <v>43350</v>
      </c>
      <c r="C106" s="1" t="n">
        <v>45231</v>
      </c>
      <c r="D106" t="inlineStr">
        <is>
          <t>BLEKINGE LÄN</t>
        </is>
      </c>
      <c r="E106" t="inlineStr">
        <is>
          <t>RONNEBY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42736-2018</t>
        </is>
      </c>
      <c r="B107" s="1" t="n">
        <v>43350</v>
      </c>
      <c r="C107" s="1" t="n">
        <v>45231</v>
      </c>
      <c r="D107" t="inlineStr">
        <is>
          <t>BLEKINGE LÄN</t>
        </is>
      </c>
      <c r="E107" t="inlineStr">
        <is>
          <t>KARLSKRONA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42717-2018</t>
        </is>
      </c>
      <c r="B108" s="1" t="n">
        <v>43350</v>
      </c>
      <c r="C108" s="1" t="n">
        <v>45231</v>
      </c>
      <c r="D108" t="inlineStr">
        <is>
          <t>BLEKINGE LÄN</t>
        </is>
      </c>
      <c r="E108" t="inlineStr">
        <is>
          <t>OLOFSTRÖM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42432-2018</t>
        </is>
      </c>
      <c r="B109" s="1" t="n">
        <v>43353</v>
      </c>
      <c r="C109" s="1" t="n">
        <v>45231</v>
      </c>
      <c r="D109" t="inlineStr">
        <is>
          <t>BLEKINGE LÄN</t>
        </is>
      </c>
      <c r="E109" t="inlineStr">
        <is>
          <t>RONNEBY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43132-2018</t>
        </is>
      </c>
      <c r="B110" s="1" t="n">
        <v>43353</v>
      </c>
      <c r="C110" s="1" t="n">
        <v>45231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43128-2018</t>
        </is>
      </c>
      <c r="B111" s="1" t="n">
        <v>43353</v>
      </c>
      <c r="C111" s="1" t="n">
        <v>45231</v>
      </c>
      <c r="D111" t="inlineStr">
        <is>
          <t>BLEKINGE LÄN</t>
        </is>
      </c>
      <c r="E111" t="inlineStr">
        <is>
          <t>OLOFSTRÖM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43361-2018</t>
        </is>
      </c>
      <c r="B112" s="1" t="n">
        <v>43354</v>
      </c>
      <c r="C112" s="1" t="n">
        <v>45231</v>
      </c>
      <c r="D112" t="inlineStr">
        <is>
          <t>BLEKINGE LÄN</t>
        </is>
      </c>
      <c r="E112" t="inlineStr">
        <is>
          <t>RONNEBY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43366-2018</t>
        </is>
      </c>
      <c r="B113" s="1" t="n">
        <v>43354</v>
      </c>
      <c r="C113" s="1" t="n">
        <v>45231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44395-2018</t>
        </is>
      </c>
      <c r="B114" s="1" t="n">
        <v>43356</v>
      </c>
      <c r="C114" s="1" t="n">
        <v>45231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43684-2018</t>
        </is>
      </c>
      <c r="B115" s="1" t="n">
        <v>43357</v>
      </c>
      <c r="C115" s="1" t="n">
        <v>45231</v>
      </c>
      <c r="D115" t="inlineStr">
        <is>
          <t>BLEKINGE LÄN</t>
        </is>
      </c>
      <c r="E115" t="inlineStr">
        <is>
          <t>KARLSKRONA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44864-2018</t>
        </is>
      </c>
      <c r="B116" s="1" t="n">
        <v>43357</v>
      </c>
      <c r="C116" s="1" t="n">
        <v>45231</v>
      </c>
      <c r="D116" t="inlineStr">
        <is>
          <t>BLEKINGE LÄN</t>
        </is>
      </c>
      <c r="E116" t="inlineStr">
        <is>
          <t>RONNEBY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43915-2018</t>
        </is>
      </c>
      <c r="B117" s="1" t="n">
        <v>43359</v>
      </c>
      <c r="C117" s="1" t="n">
        <v>45231</v>
      </c>
      <c r="D117" t="inlineStr">
        <is>
          <t>BLEKINGE LÄN</t>
        </is>
      </c>
      <c r="E117" t="inlineStr">
        <is>
          <t>KARLSKRONA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45239-2018</t>
        </is>
      </c>
      <c r="B118" s="1" t="n">
        <v>43361</v>
      </c>
      <c r="C118" s="1" t="n">
        <v>45231</v>
      </c>
      <c r="D118" t="inlineStr">
        <is>
          <t>BLEKINGE LÄN</t>
        </is>
      </c>
      <c r="E118" t="inlineStr">
        <is>
          <t>RONNEBY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44539-2018</t>
        </is>
      </c>
      <c r="B119" s="1" t="n">
        <v>43361</v>
      </c>
      <c r="C119" s="1" t="n">
        <v>45231</v>
      </c>
      <c r="D119" t="inlineStr">
        <is>
          <t>BLEKINGE LÄN</t>
        </is>
      </c>
      <c r="E119" t="inlineStr">
        <is>
          <t>KARLSKRONA</t>
        </is>
      </c>
      <c r="G119" t="n">
        <v>9.5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45469-2018</t>
        </is>
      </c>
      <c r="B120" s="1" t="n">
        <v>43363</v>
      </c>
      <c r="C120" s="1" t="n">
        <v>45231</v>
      </c>
      <c r="D120" t="inlineStr">
        <is>
          <t>BLEKINGE LÄN</t>
        </is>
      </c>
      <c r="E120" t="inlineStr">
        <is>
          <t>KARLSKRONA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46248-2018</t>
        </is>
      </c>
      <c r="B121" s="1" t="n">
        <v>43367</v>
      </c>
      <c r="C121" s="1" t="n">
        <v>45231</v>
      </c>
      <c r="D121" t="inlineStr">
        <is>
          <t>BLEKINGE LÄN</t>
        </is>
      </c>
      <c r="E121" t="inlineStr">
        <is>
          <t>KARLSKRONA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46741-2018</t>
        </is>
      </c>
      <c r="B122" s="1" t="n">
        <v>43368</v>
      </c>
      <c r="C122" s="1" t="n">
        <v>45231</v>
      </c>
      <c r="D122" t="inlineStr">
        <is>
          <t>BLEKINGE LÄN</t>
        </is>
      </c>
      <c r="E122" t="inlineStr">
        <is>
          <t>RONNEBY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46670-2018</t>
        </is>
      </c>
      <c r="B123" s="1" t="n">
        <v>43368</v>
      </c>
      <c r="C123" s="1" t="n">
        <v>45231</v>
      </c>
      <c r="D123" t="inlineStr">
        <is>
          <t>BLEKINGE LÄN</t>
        </is>
      </c>
      <c r="E123" t="inlineStr">
        <is>
          <t>KARLSKRONA</t>
        </is>
      </c>
      <c r="G123" t="n">
        <v>8.800000000000001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47244-2018</t>
        </is>
      </c>
      <c r="B124" s="1" t="n">
        <v>43368</v>
      </c>
      <c r="C124" s="1" t="n">
        <v>45231</v>
      </c>
      <c r="D124" t="inlineStr">
        <is>
          <t>BLEKINGE LÄN</t>
        </is>
      </c>
      <c r="E124" t="inlineStr">
        <is>
          <t>KARLSKRONA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47285-2018</t>
        </is>
      </c>
      <c r="B125" s="1" t="n">
        <v>43369</v>
      </c>
      <c r="C125" s="1" t="n">
        <v>45231</v>
      </c>
      <c r="D125" t="inlineStr">
        <is>
          <t>BLEKINGE LÄN</t>
        </is>
      </c>
      <c r="E125" t="inlineStr">
        <is>
          <t>KARLSKRONA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47667-2018</t>
        </is>
      </c>
      <c r="B126" s="1" t="n">
        <v>43369</v>
      </c>
      <c r="C126" s="1" t="n">
        <v>45231</v>
      </c>
      <c r="D126" t="inlineStr">
        <is>
          <t>BLEKINGE LÄN</t>
        </is>
      </c>
      <c r="E126" t="inlineStr">
        <is>
          <t>RONNEBY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47470-2018</t>
        </is>
      </c>
      <c r="B127" s="1" t="n">
        <v>43370</v>
      </c>
      <c r="C127" s="1" t="n">
        <v>45231</v>
      </c>
      <c r="D127" t="inlineStr">
        <is>
          <t>BLEKINGE LÄN</t>
        </is>
      </c>
      <c r="E127" t="inlineStr">
        <is>
          <t>RONNEBY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48896-2018</t>
        </is>
      </c>
      <c r="B128" s="1" t="n">
        <v>43371</v>
      </c>
      <c r="C128" s="1" t="n">
        <v>45231</v>
      </c>
      <c r="D128" t="inlineStr">
        <is>
          <t>BLEKINGE LÄN</t>
        </is>
      </c>
      <c r="E128" t="inlineStr">
        <is>
          <t>RONNEBY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49411-2018</t>
        </is>
      </c>
      <c r="B129" s="1" t="n">
        <v>43374</v>
      </c>
      <c r="C129" s="1" t="n">
        <v>45231</v>
      </c>
      <c r="D129" t="inlineStr">
        <is>
          <t>BLEKINGE LÄN</t>
        </is>
      </c>
      <c r="E129" t="inlineStr">
        <is>
          <t>OLOFSTRÖM</t>
        </is>
      </c>
      <c r="G129" t="n">
        <v>13.1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48959-2018</t>
        </is>
      </c>
      <c r="B130" s="1" t="n">
        <v>43375</v>
      </c>
      <c r="C130" s="1" t="n">
        <v>45231</v>
      </c>
      <c r="D130" t="inlineStr">
        <is>
          <t>BLEKINGE LÄN</t>
        </is>
      </c>
      <c r="E130" t="inlineStr">
        <is>
          <t>KARLSKRONA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50809-2018</t>
        </is>
      </c>
      <c r="B131" s="1" t="n">
        <v>43376</v>
      </c>
      <c r="C131" s="1" t="n">
        <v>45231</v>
      </c>
      <c r="D131" t="inlineStr">
        <is>
          <t>BLEKINGE LÄN</t>
        </is>
      </c>
      <c r="E131" t="inlineStr">
        <is>
          <t>KARLSKRONA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49339-2018</t>
        </is>
      </c>
      <c r="B132" s="1" t="n">
        <v>43376</v>
      </c>
      <c r="C132" s="1" t="n">
        <v>45231</v>
      </c>
      <c r="D132" t="inlineStr">
        <is>
          <t>BLEKINGE LÄN</t>
        </is>
      </c>
      <c r="E132" t="inlineStr">
        <is>
          <t>KARLSHAMN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51188-2018</t>
        </is>
      </c>
      <c r="B133" s="1" t="n">
        <v>43377</v>
      </c>
      <c r="C133" s="1" t="n">
        <v>45231</v>
      </c>
      <c r="D133" t="inlineStr">
        <is>
          <t>BLEKINGE LÄN</t>
        </is>
      </c>
      <c r="E133" t="inlineStr">
        <is>
          <t>KARLSHAMN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51176-2018</t>
        </is>
      </c>
      <c r="B134" s="1" t="n">
        <v>43377</v>
      </c>
      <c r="C134" s="1" t="n">
        <v>45231</v>
      </c>
      <c r="D134" t="inlineStr">
        <is>
          <t>BLEKINGE LÄN</t>
        </is>
      </c>
      <c r="E134" t="inlineStr">
        <is>
          <t>KARLSHAMN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50236-2018</t>
        </is>
      </c>
      <c r="B135" s="1" t="n">
        <v>43378</v>
      </c>
      <c r="C135" s="1" t="n">
        <v>45231</v>
      </c>
      <c r="D135" t="inlineStr">
        <is>
          <t>BLEKINGE LÄN</t>
        </is>
      </c>
      <c r="E135" t="inlineStr">
        <is>
          <t>OLOFSTRÖM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50318-2018</t>
        </is>
      </c>
      <c r="B136" s="1" t="n">
        <v>43378</v>
      </c>
      <c r="C136" s="1" t="n">
        <v>45231</v>
      </c>
      <c r="D136" t="inlineStr">
        <is>
          <t>BLEKINGE LÄN</t>
        </is>
      </c>
      <c r="E136" t="inlineStr">
        <is>
          <t>OLOFSTRÖM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52244-2018</t>
        </is>
      </c>
      <c r="B137" s="1" t="n">
        <v>43382</v>
      </c>
      <c r="C137" s="1" t="n">
        <v>45231</v>
      </c>
      <c r="D137" t="inlineStr">
        <is>
          <t>BLEKINGE LÄN</t>
        </is>
      </c>
      <c r="E137" t="inlineStr">
        <is>
          <t>OLOFSTRÖM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52689-2018</t>
        </is>
      </c>
      <c r="B138" s="1" t="n">
        <v>43383</v>
      </c>
      <c r="C138" s="1" t="n">
        <v>45231</v>
      </c>
      <c r="D138" t="inlineStr">
        <is>
          <t>BLEKINGE LÄN</t>
        </is>
      </c>
      <c r="E138" t="inlineStr">
        <is>
          <t>RONNEBY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51846-2018</t>
        </is>
      </c>
      <c r="B139" s="1" t="n">
        <v>43384</v>
      </c>
      <c r="C139" s="1" t="n">
        <v>45231</v>
      </c>
      <c r="D139" t="inlineStr">
        <is>
          <t>BLEKINGE LÄN</t>
        </is>
      </c>
      <c r="E139" t="inlineStr">
        <is>
          <t>KARLSKRONA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52144-2018</t>
        </is>
      </c>
      <c r="B140" s="1" t="n">
        <v>43385</v>
      </c>
      <c r="C140" s="1" t="n">
        <v>45231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52143-2018</t>
        </is>
      </c>
      <c r="B141" s="1" t="n">
        <v>43385</v>
      </c>
      <c r="C141" s="1" t="n">
        <v>45231</v>
      </c>
      <c r="D141" t="inlineStr">
        <is>
          <t>BLEKINGE LÄN</t>
        </is>
      </c>
      <c r="E141" t="inlineStr">
        <is>
          <t>OLOFSTRÖM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53067-2018</t>
        </is>
      </c>
      <c r="B142" s="1" t="n">
        <v>43390</v>
      </c>
      <c r="C142" s="1" t="n">
        <v>45231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54696-2018</t>
        </is>
      </c>
      <c r="B143" s="1" t="n">
        <v>43390</v>
      </c>
      <c r="C143" s="1" t="n">
        <v>45231</v>
      </c>
      <c r="D143" t="inlineStr">
        <is>
          <t>BLEKINGE LÄN</t>
        </is>
      </c>
      <c r="E143" t="inlineStr">
        <is>
          <t>RONNEBY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53930-2018</t>
        </is>
      </c>
      <c r="B144" s="1" t="n">
        <v>43392</v>
      </c>
      <c r="C144" s="1" t="n">
        <v>45231</v>
      </c>
      <c r="D144" t="inlineStr">
        <is>
          <t>BLEKINGE LÄN</t>
        </is>
      </c>
      <c r="E144" t="inlineStr">
        <is>
          <t>KARLSHAMN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56636-2018</t>
        </is>
      </c>
      <c r="B145" s="1" t="n">
        <v>43395</v>
      </c>
      <c r="C145" s="1" t="n">
        <v>45231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56649-2018</t>
        </is>
      </c>
      <c r="B146" s="1" t="n">
        <v>43395</v>
      </c>
      <c r="C146" s="1" t="n">
        <v>45231</v>
      </c>
      <c r="D146" t="inlineStr">
        <is>
          <t>BLEKINGE LÄN</t>
        </is>
      </c>
      <c r="E146" t="inlineStr">
        <is>
          <t>RONNEBY</t>
        </is>
      </c>
      <c r="F146" t="inlineStr">
        <is>
          <t>Kyrkan</t>
        </is>
      </c>
      <c r="G146" t="n">
        <v>18.1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56620-2018</t>
        </is>
      </c>
      <c r="B147" s="1" t="n">
        <v>43395</v>
      </c>
      <c r="C147" s="1" t="n">
        <v>45231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56765-2018</t>
        </is>
      </c>
      <c r="B148" s="1" t="n">
        <v>43395</v>
      </c>
      <c r="C148" s="1" t="n">
        <v>45231</v>
      </c>
      <c r="D148" t="inlineStr">
        <is>
          <t>BLEKINGE LÄN</t>
        </is>
      </c>
      <c r="E148" t="inlineStr">
        <is>
          <t>KARLSHAMN</t>
        </is>
      </c>
      <c r="F148" t="inlineStr">
        <is>
          <t>Kyrkan</t>
        </is>
      </c>
      <c r="G148" t="n">
        <v>13.6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55155-2018</t>
        </is>
      </c>
      <c r="B149" s="1" t="n">
        <v>43396</v>
      </c>
      <c r="C149" s="1" t="n">
        <v>45231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55156-2018</t>
        </is>
      </c>
      <c r="B150" s="1" t="n">
        <v>43396</v>
      </c>
      <c r="C150" s="1" t="n">
        <v>45231</v>
      </c>
      <c r="D150" t="inlineStr">
        <is>
          <t>BLEKINGE LÄN</t>
        </is>
      </c>
      <c r="E150" t="inlineStr">
        <is>
          <t>KARLSKRONA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55181-2018</t>
        </is>
      </c>
      <c r="B151" s="1" t="n">
        <v>43396</v>
      </c>
      <c r="C151" s="1" t="n">
        <v>45231</v>
      </c>
      <c r="D151" t="inlineStr">
        <is>
          <t>BLEKINGE LÄN</t>
        </is>
      </c>
      <c r="E151" t="inlineStr">
        <is>
          <t>KARLSKRONA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55520-2018</t>
        </is>
      </c>
      <c r="B152" s="1" t="n">
        <v>43397</v>
      </c>
      <c r="C152" s="1" t="n">
        <v>45231</v>
      </c>
      <c r="D152" t="inlineStr">
        <is>
          <t>BLEKINGE LÄN</t>
        </is>
      </c>
      <c r="E152" t="inlineStr">
        <is>
          <t>RONNEBY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57800-2018</t>
        </is>
      </c>
      <c r="B153" s="1" t="n">
        <v>43397</v>
      </c>
      <c r="C153" s="1" t="n">
        <v>45231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55576-2018</t>
        </is>
      </c>
      <c r="B154" s="1" t="n">
        <v>43397</v>
      </c>
      <c r="C154" s="1" t="n">
        <v>45231</v>
      </c>
      <c r="D154" t="inlineStr">
        <is>
          <t>BLEKINGE LÄN</t>
        </is>
      </c>
      <c r="E154" t="inlineStr">
        <is>
          <t>OLOFSTRÖM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58084-2018</t>
        </is>
      </c>
      <c r="B155" s="1" t="n">
        <v>43397</v>
      </c>
      <c r="C155" s="1" t="n">
        <v>45231</v>
      </c>
      <c r="D155" t="inlineStr">
        <is>
          <t>BLEKINGE LÄN</t>
        </is>
      </c>
      <c r="E155" t="inlineStr">
        <is>
          <t>KARLSKRONA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57805-2018</t>
        </is>
      </c>
      <c r="B156" s="1" t="n">
        <v>43397</v>
      </c>
      <c r="C156" s="1" t="n">
        <v>45231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55513-2018</t>
        </is>
      </c>
      <c r="B157" s="1" t="n">
        <v>43397</v>
      </c>
      <c r="C157" s="1" t="n">
        <v>45231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55578-2018</t>
        </is>
      </c>
      <c r="B158" s="1" t="n">
        <v>43397</v>
      </c>
      <c r="C158" s="1" t="n">
        <v>45231</v>
      </c>
      <c r="D158" t="inlineStr">
        <is>
          <t>BLEKINGE LÄN</t>
        </is>
      </c>
      <c r="E158" t="inlineStr">
        <is>
          <t>OLOFSTRÖM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57828-2018</t>
        </is>
      </c>
      <c r="B159" s="1" t="n">
        <v>43397</v>
      </c>
      <c r="C159" s="1" t="n">
        <v>45231</v>
      </c>
      <c r="D159" t="inlineStr">
        <is>
          <t>BLEKINGE LÄN</t>
        </is>
      </c>
      <c r="E159" t="inlineStr">
        <is>
          <t>RONNEBY</t>
        </is>
      </c>
      <c r="F159" t="inlineStr">
        <is>
          <t>Kyrkan</t>
        </is>
      </c>
      <c r="G159" t="n">
        <v>18.9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57875-2018</t>
        </is>
      </c>
      <c r="B160" s="1" t="n">
        <v>43398</v>
      </c>
      <c r="C160" s="1" t="n">
        <v>45231</v>
      </c>
      <c r="D160" t="inlineStr">
        <is>
          <t>BLEKINGE LÄN</t>
        </is>
      </c>
      <c r="E160" t="inlineStr">
        <is>
          <t>KARLSHAMN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56037-2018</t>
        </is>
      </c>
      <c r="B161" s="1" t="n">
        <v>43398</v>
      </c>
      <c r="C161" s="1" t="n">
        <v>45231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58037-2018</t>
        </is>
      </c>
      <c r="B162" s="1" t="n">
        <v>43398</v>
      </c>
      <c r="C162" s="1" t="n">
        <v>45231</v>
      </c>
      <c r="D162" t="inlineStr">
        <is>
          <t>BLEKINGE LÄN</t>
        </is>
      </c>
      <c r="E162" t="inlineStr">
        <is>
          <t>KARLSKRONA</t>
        </is>
      </c>
      <c r="F162" t="inlineStr">
        <is>
          <t>Övriga statliga verk och myndigheter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55713-2018</t>
        </is>
      </c>
      <c r="B163" s="1" t="n">
        <v>43398</v>
      </c>
      <c r="C163" s="1" t="n">
        <v>45231</v>
      </c>
      <c r="D163" t="inlineStr">
        <is>
          <t>BLEKINGE LÄN</t>
        </is>
      </c>
      <c r="E163" t="inlineStr">
        <is>
          <t>KARLSKRONA</t>
        </is>
      </c>
      <c r="G163" t="n">
        <v>17.3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55718-2018</t>
        </is>
      </c>
      <c r="B164" s="1" t="n">
        <v>43398</v>
      </c>
      <c r="C164" s="1" t="n">
        <v>45231</v>
      </c>
      <c r="D164" t="inlineStr">
        <is>
          <t>BLEKINGE LÄN</t>
        </is>
      </c>
      <c r="E164" t="inlineStr">
        <is>
          <t>KARLSKRONA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55835-2018</t>
        </is>
      </c>
      <c r="B165" s="1" t="n">
        <v>43398</v>
      </c>
      <c r="C165" s="1" t="n">
        <v>45231</v>
      </c>
      <c r="D165" t="inlineStr">
        <is>
          <t>BLEKINGE LÄN</t>
        </is>
      </c>
      <c r="E165" t="inlineStr">
        <is>
          <t>KARLSKRONA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58365-2018</t>
        </is>
      </c>
      <c r="B166" s="1" t="n">
        <v>43399</v>
      </c>
      <c r="C166" s="1" t="n">
        <v>45231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56512-2018</t>
        </is>
      </c>
      <c r="B167" s="1" t="n">
        <v>43401</v>
      </c>
      <c r="C167" s="1" t="n">
        <v>45231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56755-2018</t>
        </is>
      </c>
      <c r="B168" s="1" t="n">
        <v>43402</v>
      </c>
      <c r="C168" s="1" t="n">
        <v>45231</v>
      </c>
      <c r="D168" t="inlineStr">
        <is>
          <t>BLEKINGE LÄN</t>
        </is>
      </c>
      <c r="E168" t="inlineStr">
        <is>
          <t>RONNEBY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56808-2018</t>
        </is>
      </c>
      <c r="B169" s="1" t="n">
        <v>43402</v>
      </c>
      <c r="C169" s="1" t="n">
        <v>45231</v>
      </c>
      <c r="D169" t="inlineStr">
        <is>
          <t>BLEKINGE LÄN</t>
        </is>
      </c>
      <c r="E169" t="inlineStr">
        <is>
          <t>KARLSKRONA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56881-2018</t>
        </is>
      </c>
      <c r="B170" s="1" t="n">
        <v>43402</v>
      </c>
      <c r="C170" s="1" t="n">
        <v>45231</v>
      </c>
      <c r="D170" t="inlineStr">
        <is>
          <t>BLEKINGE LÄN</t>
        </is>
      </c>
      <c r="E170" t="inlineStr">
        <is>
          <t>OLOFSTRÖM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56877-2018</t>
        </is>
      </c>
      <c r="B171" s="1" t="n">
        <v>43402</v>
      </c>
      <c r="C171" s="1" t="n">
        <v>45231</v>
      </c>
      <c r="D171" t="inlineStr">
        <is>
          <t>BLEKINGE LÄN</t>
        </is>
      </c>
      <c r="E171" t="inlineStr">
        <is>
          <t>OLOFSTRÖM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56969-2018</t>
        </is>
      </c>
      <c r="B172" s="1" t="n">
        <v>43403</v>
      </c>
      <c r="C172" s="1" t="n">
        <v>45231</v>
      </c>
      <c r="D172" t="inlineStr">
        <is>
          <t>BLEKINGE LÄN</t>
        </is>
      </c>
      <c r="E172" t="inlineStr">
        <is>
          <t>KARLSKRONA</t>
        </is>
      </c>
      <c r="G172" t="n">
        <v>23.5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57305-2018</t>
        </is>
      </c>
      <c r="B173" s="1" t="n">
        <v>43403</v>
      </c>
      <c r="C173" s="1" t="n">
        <v>45231</v>
      </c>
      <c r="D173" t="inlineStr">
        <is>
          <t>BLEKINGE LÄN</t>
        </is>
      </c>
      <c r="E173" t="inlineStr">
        <is>
          <t>KARLSHAMN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59210-2018</t>
        </is>
      </c>
      <c r="B174" s="1" t="n">
        <v>43403</v>
      </c>
      <c r="C174" s="1" t="n">
        <v>45231</v>
      </c>
      <c r="D174" t="inlineStr">
        <is>
          <t>BLEKINGE LÄN</t>
        </is>
      </c>
      <c r="E174" t="inlineStr">
        <is>
          <t>KARLSKRONA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59540-2018</t>
        </is>
      </c>
      <c r="B175" s="1" t="n">
        <v>43404</v>
      </c>
      <c r="C175" s="1" t="n">
        <v>45231</v>
      </c>
      <c r="D175" t="inlineStr">
        <is>
          <t>BLEKINGE LÄN</t>
        </is>
      </c>
      <c r="E175" t="inlineStr">
        <is>
          <t>OLOFSTRÖM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57737-2018</t>
        </is>
      </c>
      <c r="B176" s="1" t="n">
        <v>43405</v>
      </c>
      <c r="C176" s="1" t="n">
        <v>45231</v>
      </c>
      <c r="D176" t="inlineStr">
        <is>
          <t>BLEKINGE LÄN</t>
        </is>
      </c>
      <c r="E176" t="inlineStr">
        <is>
          <t>OLOFSTRÖM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57815-2018</t>
        </is>
      </c>
      <c r="B177" s="1" t="n">
        <v>43405</v>
      </c>
      <c r="C177" s="1" t="n">
        <v>45231</v>
      </c>
      <c r="D177" t="inlineStr">
        <is>
          <t>BLEKINGE LÄN</t>
        </is>
      </c>
      <c r="E177" t="inlineStr">
        <is>
          <t>KARLSKRONA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60732-2018</t>
        </is>
      </c>
      <c r="B178" s="1" t="n">
        <v>43409</v>
      </c>
      <c r="C178" s="1" t="n">
        <v>45231</v>
      </c>
      <c r="D178" t="inlineStr">
        <is>
          <t>BLEKINGE LÄN</t>
        </is>
      </c>
      <c r="E178" t="inlineStr">
        <is>
          <t>KARLSKRONA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60747-2018</t>
        </is>
      </c>
      <c r="B179" s="1" t="n">
        <v>43409</v>
      </c>
      <c r="C179" s="1" t="n">
        <v>45231</v>
      </c>
      <c r="D179" t="inlineStr">
        <is>
          <t>BLEKINGE LÄN</t>
        </is>
      </c>
      <c r="E179" t="inlineStr">
        <is>
          <t>RONNEBY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58389-2018</t>
        </is>
      </c>
      <c r="B180" s="1" t="n">
        <v>43409</v>
      </c>
      <c r="C180" s="1" t="n">
        <v>45231</v>
      </c>
      <c r="D180" t="inlineStr">
        <is>
          <t>BLEKINGE LÄN</t>
        </is>
      </c>
      <c r="E180" t="inlineStr">
        <is>
          <t>OLOFSTRÖM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60682-2018</t>
        </is>
      </c>
      <c r="B181" s="1" t="n">
        <v>43409</v>
      </c>
      <c r="C181" s="1" t="n">
        <v>45231</v>
      </c>
      <c r="D181" t="inlineStr">
        <is>
          <t>BLEKINGE LÄN</t>
        </is>
      </c>
      <c r="E181" t="inlineStr">
        <is>
          <t>RONNEBY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60832-2018</t>
        </is>
      </c>
      <c r="B182" s="1" t="n">
        <v>43410</v>
      </c>
      <c r="C182" s="1" t="n">
        <v>45231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60824-2018</t>
        </is>
      </c>
      <c r="B183" s="1" t="n">
        <v>43410</v>
      </c>
      <c r="C183" s="1" t="n">
        <v>45231</v>
      </c>
      <c r="D183" t="inlineStr">
        <is>
          <t>BLEKINGE LÄN</t>
        </is>
      </c>
      <c r="E183" t="inlineStr">
        <is>
          <t>KARLSKRONA</t>
        </is>
      </c>
      <c r="F183" t="inlineStr">
        <is>
          <t>Övriga statliga verk och myndigheter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59958-2018</t>
        </is>
      </c>
      <c r="B184" s="1" t="n">
        <v>43411</v>
      </c>
      <c r="C184" s="1" t="n">
        <v>45231</v>
      </c>
      <c r="D184" t="inlineStr">
        <is>
          <t>BLEKINGE LÄN</t>
        </is>
      </c>
      <c r="E184" t="inlineStr">
        <is>
          <t>KARLSKRONA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58972-2018</t>
        </is>
      </c>
      <c r="B185" s="1" t="n">
        <v>43411</v>
      </c>
      <c r="C185" s="1" t="n">
        <v>45231</v>
      </c>
      <c r="D185" t="inlineStr">
        <is>
          <t>BLEKINGE LÄN</t>
        </is>
      </c>
      <c r="E185" t="inlineStr">
        <is>
          <t>OLOFSTRÖM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61117-2018</t>
        </is>
      </c>
      <c r="B186" s="1" t="n">
        <v>43411</v>
      </c>
      <c r="C186" s="1" t="n">
        <v>45231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60043-2018</t>
        </is>
      </c>
      <c r="B187" s="1" t="n">
        <v>43412</v>
      </c>
      <c r="C187" s="1" t="n">
        <v>45231</v>
      </c>
      <c r="D187" t="inlineStr">
        <is>
          <t>BLEKINGE LÄN</t>
        </is>
      </c>
      <c r="E187" t="inlineStr">
        <is>
          <t>RONNEBY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60161-2018</t>
        </is>
      </c>
      <c r="B188" s="1" t="n">
        <v>43412</v>
      </c>
      <c r="C188" s="1" t="n">
        <v>45231</v>
      </c>
      <c r="D188" t="inlineStr">
        <is>
          <t>BLEKINGE LÄN</t>
        </is>
      </c>
      <c r="E188" t="inlineStr">
        <is>
          <t>KARLSKRONA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60141-2018</t>
        </is>
      </c>
      <c r="B189" s="1" t="n">
        <v>43412</v>
      </c>
      <c r="C189" s="1" t="n">
        <v>45231</v>
      </c>
      <c r="D189" t="inlineStr">
        <is>
          <t>BLEKINGE LÄN</t>
        </is>
      </c>
      <c r="E189" t="inlineStr">
        <is>
          <t>OLOFSTRÖM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60221-2018</t>
        </is>
      </c>
      <c r="B190" s="1" t="n">
        <v>43412</v>
      </c>
      <c r="C190" s="1" t="n">
        <v>45231</v>
      </c>
      <c r="D190" t="inlineStr">
        <is>
          <t>BLEKINGE LÄN</t>
        </is>
      </c>
      <c r="E190" t="inlineStr">
        <is>
          <t>KARLSHAMN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60251-2018</t>
        </is>
      </c>
      <c r="B191" s="1" t="n">
        <v>43412</v>
      </c>
      <c r="C191" s="1" t="n">
        <v>45231</v>
      </c>
      <c r="D191" t="inlineStr">
        <is>
          <t>BLEKINGE LÄN</t>
        </is>
      </c>
      <c r="E191" t="inlineStr">
        <is>
          <t>RONNEBY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59033-2018</t>
        </is>
      </c>
      <c r="B192" s="1" t="n">
        <v>43413</v>
      </c>
      <c r="C192" s="1" t="n">
        <v>45231</v>
      </c>
      <c r="D192" t="inlineStr">
        <is>
          <t>BLEKINGE LÄN</t>
        </is>
      </c>
      <c r="E192" t="inlineStr">
        <is>
          <t>KARLSKRONA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61694-2018</t>
        </is>
      </c>
      <c r="B193" s="1" t="n">
        <v>43413</v>
      </c>
      <c r="C193" s="1" t="n">
        <v>45231</v>
      </c>
      <c r="D193" t="inlineStr">
        <is>
          <t>BLEKINGE LÄN</t>
        </is>
      </c>
      <c r="E193" t="inlineStr">
        <is>
          <t>RONNEBY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62468-2018</t>
        </is>
      </c>
      <c r="B194" s="1" t="n">
        <v>43415</v>
      </c>
      <c r="C194" s="1" t="n">
        <v>45231</v>
      </c>
      <c r="D194" t="inlineStr">
        <is>
          <t>BLEKINGE LÄN</t>
        </is>
      </c>
      <c r="E194" t="inlineStr">
        <is>
          <t>OLOFSTRÖM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63447-2018</t>
        </is>
      </c>
      <c r="B195" s="1" t="n">
        <v>43416</v>
      </c>
      <c r="C195" s="1" t="n">
        <v>45231</v>
      </c>
      <c r="D195" t="inlineStr">
        <is>
          <t>BLEKINGE LÄN</t>
        </is>
      </c>
      <c r="E195" t="inlineStr">
        <is>
          <t>RONNEBY</t>
        </is>
      </c>
      <c r="F195" t="inlineStr">
        <is>
          <t>Kyrkan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63245-2018</t>
        </is>
      </c>
      <c r="B196" s="1" t="n">
        <v>43416</v>
      </c>
      <c r="C196" s="1" t="n">
        <v>45231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62087-2018</t>
        </is>
      </c>
      <c r="B197" s="1" t="n">
        <v>43416</v>
      </c>
      <c r="C197" s="1" t="n">
        <v>45231</v>
      </c>
      <c r="D197" t="inlineStr">
        <is>
          <t>BLEKINGE LÄN</t>
        </is>
      </c>
      <c r="E197" t="inlineStr">
        <is>
          <t>KARLSKRONA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62115-2018</t>
        </is>
      </c>
      <c r="B198" s="1" t="n">
        <v>43416</v>
      </c>
      <c r="C198" s="1" t="n">
        <v>45231</v>
      </c>
      <c r="D198" t="inlineStr">
        <is>
          <t>BLEKINGE LÄN</t>
        </is>
      </c>
      <c r="E198" t="inlineStr">
        <is>
          <t>KARLSKRONA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62780-2018</t>
        </is>
      </c>
      <c r="B199" s="1" t="n">
        <v>43417</v>
      </c>
      <c r="C199" s="1" t="n">
        <v>45231</v>
      </c>
      <c r="D199" t="inlineStr">
        <is>
          <t>BLEKINGE LÄN</t>
        </is>
      </c>
      <c r="E199" t="inlineStr">
        <is>
          <t>KARLSKRONA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63687-2018</t>
        </is>
      </c>
      <c r="B200" s="1" t="n">
        <v>43417</v>
      </c>
      <c r="C200" s="1" t="n">
        <v>45231</v>
      </c>
      <c r="D200" t="inlineStr">
        <is>
          <t>BLEKINGE LÄN</t>
        </is>
      </c>
      <c r="E200" t="inlineStr">
        <is>
          <t>OLOFSTRÖM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59577-2018</t>
        </is>
      </c>
      <c r="B201" s="1" t="n">
        <v>43419</v>
      </c>
      <c r="C201" s="1" t="n">
        <v>45231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59698-2018</t>
        </is>
      </c>
      <c r="B202" s="1" t="n">
        <v>43419</v>
      </c>
      <c r="C202" s="1" t="n">
        <v>45231</v>
      </c>
      <c r="D202" t="inlineStr">
        <is>
          <t>BLEKINGE LÄN</t>
        </is>
      </c>
      <c r="E202" t="inlineStr">
        <is>
          <t>KARLSHAMN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59891-2018</t>
        </is>
      </c>
      <c r="B203" s="1" t="n">
        <v>43419</v>
      </c>
      <c r="C203" s="1" t="n">
        <v>45231</v>
      </c>
      <c r="D203" t="inlineStr">
        <is>
          <t>BLEKINGE LÄN</t>
        </is>
      </c>
      <c r="E203" t="inlineStr">
        <is>
          <t>KARLSKRONA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59608-2018</t>
        </is>
      </c>
      <c r="B204" s="1" t="n">
        <v>43419</v>
      </c>
      <c r="C204" s="1" t="n">
        <v>45231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59753-2018</t>
        </is>
      </c>
      <c r="B205" s="1" t="n">
        <v>43419</v>
      </c>
      <c r="C205" s="1" t="n">
        <v>45231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59573-2018</t>
        </is>
      </c>
      <c r="B206" s="1" t="n">
        <v>43419</v>
      </c>
      <c r="C206" s="1" t="n">
        <v>45231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59585-2018</t>
        </is>
      </c>
      <c r="B207" s="1" t="n">
        <v>43419</v>
      </c>
      <c r="C207" s="1" t="n">
        <v>45231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59889-2018</t>
        </is>
      </c>
      <c r="B208" s="1" t="n">
        <v>43419</v>
      </c>
      <c r="C208" s="1" t="n">
        <v>45231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60190-2018</t>
        </is>
      </c>
      <c r="B209" s="1" t="n">
        <v>43420</v>
      </c>
      <c r="C209" s="1" t="n">
        <v>45231</v>
      </c>
      <c r="D209" t="inlineStr">
        <is>
          <t>BLEKINGE LÄN</t>
        </is>
      </c>
      <c r="E209" t="inlineStr">
        <is>
          <t>KARLSKRONA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60301-2018</t>
        </is>
      </c>
      <c r="B210" s="1" t="n">
        <v>43420</v>
      </c>
      <c r="C210" s="1" t="n">
        <v>45231</v>
      </c>
      <c r="D210" t="inlineStr">
        <is>
          <t>BLEKINGE LÄN</t>
        </is>
      </c>
      <c r="E210" t="inlineStr">
        <is>
          <t>KARLSKRONA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60884-2018</t>
        </is>
      </c>
      <c r="B211" s="1" t="n">
        <v>43422</v>
      </c>
      <c r="C211" s="1" t="n">
        <v>45231</v>
      </c>
      <c r="D211" t="inlineStr">
        <is>
          <t>BLEKINGE LÄN</t>
        </is>
      </c>
      <c r="E211" t="inlineStr">
        <is>
          <t>RONNEBY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61210-2018</t>
        </is>
      </c>
      <c r="B212" s="1" t="n">
        <v>43423</v>
      </c>
      <c r="C212" s="1" t="n">
        <v>45231</v>
      </c>
      <c r="D212" t="inlineStr">
        <is>
          <t>BLEKINGE LÄN</t>
        </is>
      </c>
      <c r="E212" t="inlineStr">
        <is>
          <t>KARLSKRONA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61475-2018</t>
        </is>
      </c>
      <c r="B213" s="1" t="n">
        <v>43424</v>
      </c>
      <c r="C213" s="1" t="n">
        <v>45231</v>
      </c>
      <c r="D213" t="inlineStr">
        <is>
          <t>BLEKINGE LÄN</t>
        </is>
      </c>
      <c r="E213" t="inlineStr">
        <is>
          <t>KARLSHAMN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65251-2018</t>
        </is>
      </c>
      <c r="B214" s="1" t="n">
        <v>43424</v>
      </c>
      <c r="C214" s="1" t="n">
        <v>45231</v>
      </c>
      <c r="D214" t="inlineStr">
        <is>
          <t>BLEKINGE LÄN</t>
        </is>
      </c>
      <c r="E214" t="inlineStr">
        <is>
          <t>KARLSKRONA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61357-2018</t>
        </is>
      </c>
      <c r="B215" s="1" t="n">
        <v>43424</v>
      </c>
      <c r="C215" s="1" t="n">
        <v>45231</v>
      </c>
      <c r="D215" t="inlineStr">
        <is>
          <t>BLEKINGE LÄN</t>
        </is>
      </c>
      <c r="E215" t="inlineStr">
        <is>
          <t>RONNEBY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61436-2018</t>
        </is>
      </c>
      <c r="B216" s="1" t="n">
        <v>43424</v>
      </c>
      <c r="C216" s="1" t="n">
        <v>45231</v>
      </c>
      <c r="D216" t="inlineStr">
        <is>
          <t>BLEKINGE LÄN</t>
        </is>
      </c>
      <c r="E216" t="inlineStr">
        <is>
          <t>RONNEBY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62309-2018</t>
        </is>
      </c>
      <c r="B217" s="1" t="n">
        <v>43426</v>
      </c>
      <c r="C217" s="1" t="n">
        <v>45231</v>
      </c>
      <c r="D217" t="inlineStr">
        <is>
          <t>BLEKINGE LÄN</t>
        </is>
      </c>
      <c r="E217" t="inlineStr">
        <is>
          <t>KARLSKRONA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66148-2018</t>
        </is>
      </c>
      <c r="B218" s="1" t="n">
        <v>43427</v>
      </c>
      <c r="C218" s="1" t="n">
        <v>45231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statliga verk och myndigheter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64078-2018</t>
        </is>
      </c>
      <c r="B219" s="1" t="n">
        <v>43430</v>
      </c>
      <c r="C219" s="1" t="n">
        <v>45231</v>
      </c>
      <c r="D219" t="inlineStr">
        <is>
          <t>BLEKINGE LÄN</t>
        </is>
      </c>
      <c r="E219" t="inlineStr">
        <is>
          <t>KARLSKRONA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64301-2018</t>
        </is>
      </c>
      <c r="B220" s="1" t="n">
        <v>43430</v>
      </c>
      <c r="C220" s="1" t="n">
        <v>45231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64646-2018</t>
        </is>
      </c>
      <c r="B221" s="1" t="n">
        <v>43431</v>
      </c>
      <c r="C221" s="1" t="n">
        <v>45231</v>
      </c>
      <c r="D221" t="inlineStr">
        <is>
          <t>BLEKINGE LÄN</t>
        </is>
      </c>
      <c r="E221" t="inlineStr">
        <is>
          <t>KARLSKRONA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64655-2018</t>
        </is>
      </c>
      <c r="B222" s="1" t="n">
        <v>43431</v>
      </c>
      <c r="C222" s="1" t="n">
        <v>45231</v>
      </c>
      <c r="D222" t="inlineStr">
        <is>
          <t>BLEKINGE LÄN</t>
        </is>
      </c>
      <c r="E222" t="inlineStr">
        <is>
          <t>KARLSKRONA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64767-2018</t>
        </is>
      </c>
      <c r="B223" s="1" t="n">
        <v>43431</v>
      </c>
      <c r="C223" s="1" t="n">
        <v>45231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65310-2018</t>
        </is>
      </c>
      <c r="B224" s="1" t="n">
        <v>43432</v>
      </c>
      <c r="C224" s="1" t="n">
        <v>45231</v>
      </c>
      <c r="D224" t="inlineStr">
        <is>
          <t>BLEKINGE LÄN</t>
        </is>
      </c>
      <c r="E224" t="inlineStr">
        <is>
          <t>RONNEBY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65778-2018</t>
        </is>
      </c>
      <c r="B225" s="1" t="n">
        <v>43433</v>
      </c>
      <c r="C225" s="1" t="n">
        <v>45231</v>
      </c>
      <c r="D225" t="inlineStr">
        <is>
          <t>BLEKINGE LÄN</t>
        </is>
      </c>
      <c r="E225" t="inlineStr">
        <is>
          <t>KARLSHAMN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65732-2018</t>
        </is>
      </c>
      <c r="B226" s="1" t="n">
        <v>43433</v>
      </c>
      <c r="C226" s="1" t="n">
        <v>45231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65776-2018</t>
        </is>
      </c>
      <c r="B227" s="1" t="n">
        <v>43433</v>
      </c>
      <c r="C227" s="1" t="n">
        <v>45231</v>
      </c>
      <c r="D227" t="inlineStr">
        <is>
          <t>BLEKINGE LÄN</t>
        </is>
      </c>
      <c r="E227" t="inlineStr">
        <is>
          <t>OLOFSTRÖM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66113-2018</t>
        </is>
      </c>
      <c r="B228" s="1" t="n">
        <v>43434</v>
      </c>
      <c r="C228" s="1" t="n">
        <v>45231</v>
      </c>
      <c r="D228" t="inlineStr">
        <is>
          <t>BLEKINGE LÄN</t>
        </is>
      </c>
      <c r="E228" t="inlineStr">
        <is>
          <t>KARLSKRONA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65996-2018</t>
        </is>
      </c>
      <c r="B229" s="1" t="n">
        <v>43434</v>
      </c>
      <c r="C229" s="1" t="n">
        <v>45231</v>
      </c>
      <c r="D229" t="inlineStr">
        <is>
          <t>BLEKINGE LÄN</t>
        </is>
      </c>
      <c r="E229" t="inlineStr">
        <is>
          <t>KARLSHAMN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66031-2018</t>
        </is>
      </c>
      <c r="B230" s="1" t="n">
        <v>43434</v>
      </c>
      <c r="C230" s="1" t="n">
        <v>45231</v>
      </c>
      <c r="D230" t="inlineStr">
        <is>
          <t>BLEKINGE LÄN</t>
        </is>
      </c>
      <c r="E230" t="inlineStr">
        <is>
          <t>KARLSKRONA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65940-2018</t>
        </is>
      </c>
      <c r="B231" s="1" t="n">
        <v>43434</v>
      </c>
      <c r="C231" s="1" t="n">
        <v>45231</v>
      </c>
      <c r="D231" t="inlineStr">
        <is>
          <t>BLEKINGE LÄN</t>
        </is>
      </c>
      <c r="E231" t="inlineStr">
        <is>
          <t>KARLSKRONA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66780-2018</t>
        </is>
      </c>
      <c r="B232" s="1" t="n">
        <v>43437</v>
      </c>
      <c r="C232" s="1" t="n">
        <v>45231</v>
      </c>
      <c r="D232" t="inlineStr">
        <is>
          <t>BLEKINGE LÄN</t>
        </is>
      </c>
      <c r="E232" t="inlineStr">
        <is>
          <t>KARLSKRONA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67930-2018</t>
        </is>
      </c>
      <c r="B233" s="1" t="n">
        <v>43437</v>
      </c>
      <c r="C233" s="1" t="n">
        <v>45231</v>
      </c>
      <c r="D233" t="inlineStr">
        <is>
          <t>BLEKINGE LÄN</t>
        </is>
      </c>
      <c r="E233" t="inlineStr">
        <is>
          <t>RONNEBY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66832-2018</t>
        </is>
      </c>
      <c r="B234" s="1" t="n">
        <v>43437</v>
      </c>
      <c r="C234" s="1" t="n">
        <v>45231</v>
      </c>
      <c r="D234" t="inlineStr">
        <is>
          <t>BLEKINGE LÄN</t>
        </is>
      </c>
      <c r="E234" t="inlineStr">
        <is>
          <t>KARLSKRONA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67936-2018</t>
        </is>
      </c>
      <c r="B235" s="1" t="n">
        <v>43437</v>
      </c>
      <c r="C235" s="1" t="n">
        <v>45231</v>
      </c>
      <c r="D235" t="inlineStr">
        <is>
          <t>BLEKINGE LÄN</t>
        </is>
      </c>
      <c r="E235" t="inlineStr">
        <is>
          <t>RONNEBY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66831-2018</t>
        </is>
      </c>
      <c r="B236" s="1" t="n">
        <v>43437</v>
      </c>
      <c r="C236" s="1" t="n">
        <v>45231</v>
      </c>
      <c r="D236" t="inlineStr">
        <is>
          <t>BLEKINGE LÄN</t>
        </is>
      </c>
      <c r="E236" t="inlineStr">
        <is>
          <t>KARLSKRONA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67071-2018</t>
        </is>
      </c>
      <c r="B237" s="1" t="n">
        <v>43438</v>
      </c>
      <c r="C237" s="1" t="n">
        <v>45231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67154-2018</t>
        </is>
      </c>
      <c r="B238" s="1" t="n">
        <v>43438</v>
      </c>
      <c r="C238" s="1" t="n">
        <v>45231</v>
      </c>
      <c r="D238" t="inlineStr">
        <is>
          <t>BLEKINGE LÄN</t>
        </is>
      </c>
      <c r="E238" t="inlineStr">
        <is>
          <t>SÖLVESBORG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67571-2018</t>
        </is>
      </c>
      <c r="B239" s="1" t="n">
        <v>43439</v>
      </c>
      <c r="C239" s="1" t="n">
        <v>45231</v>
      </c>
      <c r="D239" t="inlineStr">
        <is>
          <t>BLEKINGE LÄN</t>
        </is>
      </c>
      <c r="E239" t="inlineStr">
        <is>
          <t>RONNEBY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69214-2018</t>
        </is>
      </c>
      <c r="B240" s="1" t="n">
        <v>43445</v>
      </c>
      <c r="C240" s="1" t="n">
        <v>45231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69320-2018</t>
        </is>
      </c>
      <c r="B241" s="1" t="n">
        <v>43446</v>
      </c>
      <c r="C241" s="1" t="n">
        <v>45231</v>
      </c>
      <c r="D241" t="inlineStr">
        <is>
          <t>BLEKINGE LÄN</t>
        </is>
      </c>
      <c r="E241" t="inlineStr">
        <is>
          <t>KARLSKRONA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69983-2018</t>
        </is>
      </c>
      <c r="B242" s="1" t="n">
        <v>43447</v>
      </c>
      <c r="C242" s="1" t="n">
        <v>45231</v>
      </c>
      <c r="D242" t="inlineStr">
        <is>
          <t>BLEKINGE LÄN</t>
        </is>
      </c>
      <c r="E242" t="inlineStr">
        <is>
          <t>KARLSHAMN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70488-2018</t>
        </is>
      </c>
      <c r="B243" s="1" t="n">
        <v>43447</v>
      </c>
      <c r="C243" s="1" t="n">
        <v>45231</v>
      </c>
      <c r="D243" t="inlineStr">
        <is>
          <t>BLEKINGE LÄN</t>
        </is>
      </c>
      <c r="E243" t="inlineStr">
        <is>
          <t>KARLSHAMN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70624-2018</t>
        </is>
      </c>
      <c r="B244" s="1" t="n">
        <v>43451</v>
      </c>
      <c r="C244" s="1" t="n">
        <v>45231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45231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45231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45231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45231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45231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45231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45231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45231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45231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45231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45231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45231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45231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45231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45231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45231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45231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45231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45231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45231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45231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45231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45231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45231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45231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45231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45231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45231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45231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45231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45231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45231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45231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45231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45231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45231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45231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45231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45231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45231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45231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45231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45231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45231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45231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45231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45231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45231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45231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45231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45231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45231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45231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45231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45231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45231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45231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45231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45231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45231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45231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45231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45231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45231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45231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45231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45231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45231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45231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45231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45231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45231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45231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45231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45231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45231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45231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45231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45231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45231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45231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45231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45231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45231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45231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45231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45231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45231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45231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45231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45231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45231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45231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45231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45231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45231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45231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45231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45231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45231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45231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45231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45231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45231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45231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45231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45231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45231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45231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45231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45231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45231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45231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45231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45231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45231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45231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45231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45231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45231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45231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45231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45231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45231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45231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45231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45231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45231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45231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45231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45231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45231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45231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45231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45231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45231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45231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45231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45231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45231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45231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45231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45231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45231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45231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45231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45231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45231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45231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45231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45231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45231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45231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45231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45231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45231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45231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45231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45231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45231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45231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45231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45231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45231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45231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45231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45231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45231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45231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45231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45231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45231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45231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45231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45231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45231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45231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45231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45231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45231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45231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45231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45231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45231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45231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45231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45231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45231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45231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45231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45231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45231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45231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45231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45231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45231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45231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45231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45231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45231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45231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45231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45231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45231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45231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45231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45231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45231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45231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45231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45231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45231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45231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45231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45231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45231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45231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45231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45231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45231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45231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45231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45231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45231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45231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45231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45231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45231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45231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45231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45231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45231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45231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45231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45231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45231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45231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45231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45231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45231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45231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45231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45231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45231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45231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45231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45231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45231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45231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45231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45231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45231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45231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45231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45231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45231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45231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45231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45231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45231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45231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45231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45231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45231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45231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45231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45231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45231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45231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45231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45231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45231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45231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45231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45231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45231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45231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45231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45231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45231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45231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45231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45231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45231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45231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45231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45231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45231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45231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45231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45231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45231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45231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45231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45231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45231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45231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45231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45231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45231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45231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45231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45231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45231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45231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45231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45231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45231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45231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45231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45231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45231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45231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45231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45231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45231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45231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45231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45231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45231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45231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45231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45231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45231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45231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45231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45231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45231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45231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45231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45231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45231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45231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45231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45231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45231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45231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45231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45231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45231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45231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45231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45231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45231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45231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45231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45231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45231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45231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45231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45231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45231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45231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45231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45231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45231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45231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45231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45231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45231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45231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45231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45231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45231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45231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45231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45231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45231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45231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45231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45231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45231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45231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45231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45231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45231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45231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45231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45231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45231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45231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45231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45231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45231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45231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45231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45231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45231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45231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45231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45231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45231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45231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45231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45231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45231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45231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45231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45231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45231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45231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45231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45231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45231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45231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45231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45231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45231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45231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45231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45231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45231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45231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45231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45231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45231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45231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45231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45231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45231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45231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45231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45231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45231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45231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45231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45231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45231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45231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45231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45231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45231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45231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45231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45231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45231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45231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45231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45231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45231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45231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45231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45231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45231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45231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45231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45231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45231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45231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45231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45231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45231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45231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45231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45231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45231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45231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45231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45231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45231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45231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45231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45231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45231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45231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45231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45231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45231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45231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45231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45231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45231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45231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45231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45231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45231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45231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45231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45231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45231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45231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45231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45231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45231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45231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45231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45231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45231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45231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45231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45231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45231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45231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45231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45231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45231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45231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45231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45231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45231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45231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45231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45231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45231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45231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45231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45231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45231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45231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45231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45231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45231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45231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45231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45231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45231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45231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45231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45231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45231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45231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45231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45231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45231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45231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45231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45231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45231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45231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45231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45231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45231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45231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45231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45231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45231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45231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45231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45231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45231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45231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45231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45231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45231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45231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45231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45231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45231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45231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45231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45231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45231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45231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45231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45231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45231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45231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45231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45231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45231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45231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45231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45231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45231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45231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45231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45231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45231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45231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45231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45231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45231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45231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45231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45231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45231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45231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45231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45231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45231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45231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45231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45231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45231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45231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45231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45231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45231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45231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45231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45231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45231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45231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45231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45231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45231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45231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45231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45231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45231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45231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45231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45231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45231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45231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45231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45231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45231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45231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45231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45231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45231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45231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45231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45231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45231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45231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45231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45231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45231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45231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45231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45231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45231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45231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45231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45231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45231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45231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45231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45231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45231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45231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45231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45231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45231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45231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45231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45231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45231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45231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45231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45231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45231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45231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45231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45231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45231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45231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45231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45231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45231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45231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45231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45231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45231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45231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45231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45231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45231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45231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45231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45231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45231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45231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45231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45231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45231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45231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45231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45231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45231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45231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45231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45231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45231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45231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45231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45231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45231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45231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45231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45231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45231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45231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45231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45231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45231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45231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45231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45231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45231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45231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45231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45231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45231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45231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45231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45231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45231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45231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45231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45231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45231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45231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45231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45231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45231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45231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45231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45231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45231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45231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45231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45231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45231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45231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45231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45231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45231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45231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45231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45231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45231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45231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45231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45231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45231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45231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45231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45231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45231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45231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45231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45231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45231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45231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45231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45231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45231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45231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45231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45231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45231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45231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45231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45231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45231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45231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45231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45231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45231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45231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45231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45231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45231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45231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45231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45231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45231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45231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45231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45231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45231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45231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45231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45231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45231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45231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45231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45231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45231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45231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45231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45231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45231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45231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45231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45231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45231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45231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45231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45231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45231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45231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45231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45231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45231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45231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45231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45231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45231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45231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45231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45231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45231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45231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45231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45231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45231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45231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45231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45231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45231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45231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45231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45231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45231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45231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45231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45231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45231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45231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45231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45231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45231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45231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45231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45231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45231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45231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45231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45231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45231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45231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45231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45231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45231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45231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45231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45231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45231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45231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45231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45231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45231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45231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45231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45231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45231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45231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45231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45231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45231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45231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45231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45231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45231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45231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45231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45231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45231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45231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45231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45231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45231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45231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45231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45231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45231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45231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45231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45231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45231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45231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45231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45231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45231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45231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45231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45231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45231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45231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45231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45231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45231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45231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45231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45231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45231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45231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45231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45231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45231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45231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45231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45231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45231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45231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45231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45231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45231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45231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45231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45231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45231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45231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45231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45231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45231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45231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45231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45231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45231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45231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45231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45231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45231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45231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45231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45231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45231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45231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45231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45231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45231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45231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45231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45231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45231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45231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45231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45231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45231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45231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45231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45231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45231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45231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45231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45231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45231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45231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45231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45231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45231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45231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45231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45231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45231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45231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45231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45231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45231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45231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45231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45231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45231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45231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45231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45231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45231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45231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45231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45231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45231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45231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45231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45231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45231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45231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45231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45231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45231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45231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45231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45231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45231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45231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45231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45231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45231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45231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45231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45231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45231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45231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45231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45231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45231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45231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45231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45231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45231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45231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45231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45231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45231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45231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45231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45231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45231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45231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45231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45231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45231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45231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45231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45231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45231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45231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45231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45231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45231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45231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45231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45231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45231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45231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45231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45231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45231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45231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45231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45231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45231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45231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45231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45231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45231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45231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45231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45231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45231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45231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45231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45231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45231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45231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45231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45231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45231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45231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45231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45231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45231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45231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45231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45231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45231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45231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45231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45231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45231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45231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45231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45231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45231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45231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45231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45231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45231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45231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45231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45231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45231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45231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45231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45231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45231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45231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45231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45231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45231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45231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45231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45231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45231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45231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45231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45231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45231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45231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45231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45231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45231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45231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45231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45231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45231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45231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45231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45231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45231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45231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45231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45231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45231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45231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45231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45231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45231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45231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45231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45231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45231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45231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45231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45231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45231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45231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45231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45231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45231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45231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45231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45231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45231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45231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45231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45231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45231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45231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45231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45231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45231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45231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45231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45231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45231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45231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45231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45231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45231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45231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45231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45231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45231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45231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45231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45231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45231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45231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45231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45231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45231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45231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45231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45231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45231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45231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45231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45231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45231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45231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45231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45231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45231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45231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45231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45231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45231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45231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45231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45231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45231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45231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45231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45231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45231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45231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45231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45231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45231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45231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45231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45231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45231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45231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45231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45231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45231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45231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45231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45231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45231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45231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45231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45231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45231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45231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45231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45231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45231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45231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45231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45231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45231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45231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45231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45231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45231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45231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45231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45231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45231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45231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45231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45231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45231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45231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45231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45231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45231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45231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45231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45231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45231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45231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45231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45231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45231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45231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45231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45231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45231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45231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45231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45231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45231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45231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45231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45231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45231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45231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45231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45231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45231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45231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45231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45231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45231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45231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45231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45231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45231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45231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45231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45231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45231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45231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45231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45231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45231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45231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45231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45231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45231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45231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45231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45231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45231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45231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45231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45231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45231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45231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45231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45231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45231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45231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45231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45231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45231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45231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45231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45231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45231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45231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45231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45231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45231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45231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45231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45231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45231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45231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45231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45231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45231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45231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45231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45231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45231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45231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45231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45231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45231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45231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45231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45231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45231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45231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45231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45231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45231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45231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45231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45231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45231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45231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45231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45231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45231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45231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45231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45231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45231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45231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45231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45231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45231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45231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45231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45231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45231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45231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45231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45231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45231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45231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45231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45231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45231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45231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45231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45231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45231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45231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45231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45231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45231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45231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45231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45231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45231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45231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45231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45231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45231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45231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45231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45231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45231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45231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45231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45231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45231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45231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45231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45231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45231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45231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45231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45231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45231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45231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45231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45231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45231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45231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45231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45231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45231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45231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45231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45231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45231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45231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45231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45231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45231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45231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45231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45231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45231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45231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45231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45231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45231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45231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45231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45231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45231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45231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45231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45231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45231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45231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45231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45231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45231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45231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45231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45231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45231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45231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45231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45231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45231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45231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45231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45231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45231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45231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45231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45231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45231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45231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45231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45231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45231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45231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45231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45231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45231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45231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45231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45231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45231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45231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45231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45231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45231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45231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45231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45231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45231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45231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45231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45231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45231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45231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45231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45231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45231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45231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45231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45231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45231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45231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45231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45231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45231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45231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45231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45231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45231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45231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45231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45231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45231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45231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45231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45231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45231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45231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45231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45231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45231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45231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45231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45231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45231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45231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45231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45231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45231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45231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45231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45231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45231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45231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45231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45231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45231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45231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45231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45231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45231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45231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45231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45231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45231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45231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45231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45231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45231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45231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45231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45231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45231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45231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45231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45231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45231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45231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45231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45231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45231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45231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45231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45231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45231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45231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45231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45231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45231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45231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45231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45231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45231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45231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45231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45231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45231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45231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45231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45231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45231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45231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45231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45231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45231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45231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45231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45231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45231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45231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45231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45231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45231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45231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45231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45231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45231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45231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45231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45231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45231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45231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45231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45231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45231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45231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45231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45231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45231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45231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45231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45231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45231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45231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45231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45231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45231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45231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45231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45231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45231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45231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45231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45231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45231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45231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45231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45231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45231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45231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45231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45231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45231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45231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45231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45231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45231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45231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45231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45231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45231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45231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45231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45231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45231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45231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45231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45231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45231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45231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45231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45231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45231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45231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45231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45231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45231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45231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45231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45231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45231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45231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45231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45231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45231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45231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45231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45231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45231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45231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45231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45231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45231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45231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45231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45231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45231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45231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45231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45231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45231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45231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45231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45231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45231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45231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45231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45231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45231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45231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45231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45231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45231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45231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45231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45231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45231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45231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45231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45231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45231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45231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45231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45231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45231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45231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45231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45231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45231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45231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45231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45231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45231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45231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45231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45231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45231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45231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45231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45231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45231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45231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45231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45231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45231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45231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45231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45231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45231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45231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45231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45231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45231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45231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45231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45231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45231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45231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45231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45231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45231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45231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45231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45231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45231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45231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45231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45231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45231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45231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45231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45231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45231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45231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45231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45231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45231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45231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45231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45231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45231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45231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45231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45231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45231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45231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45231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45231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45231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45231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45231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45231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45231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45231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45231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45231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45231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45231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45231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45231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45231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45231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45231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45231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45231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45231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45231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45231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45231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45231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45231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45231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45231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45231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45231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45231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45231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45231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45231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45231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45231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45231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45231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45231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45231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45231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45231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45231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45231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45231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45231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45231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45231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45231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45231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45231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45231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45231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45231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45231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45231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45231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45231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45231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45231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45231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45231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45231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45231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45231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45231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45231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45231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45231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45231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45231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45231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45231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45231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45231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45231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45231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45231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45231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45231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45231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45231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45231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45231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45231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45231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45231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45231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45231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45231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45231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45231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45231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45231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45231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45231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45231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45231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45231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45231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45231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45231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45231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45231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45231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45231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45231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45231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45231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45231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45231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45231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45231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45231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45231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45231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45231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45231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45231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45231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45231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45231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45231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45231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45231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45231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45231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45231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45231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45231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45231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45231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45231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45231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45231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45231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45231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45231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45231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45231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45231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45231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45231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45231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45231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45231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45231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45231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45231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45231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45231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45231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45231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45231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45231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45231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45231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45231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45231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45231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45231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45231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45231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45231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45231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45231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45231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45231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45231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45231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45231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45231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45231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45231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45231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45231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45231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45231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45231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45231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45231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45231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45231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45231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45231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45231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45231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45231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45231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45231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45231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45231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45231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45231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45231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45231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45231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45231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45231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45231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45231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45231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45231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45231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45231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45231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45231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45231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45231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45231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45231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45231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45231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45231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45231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45231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45231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45231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45231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45231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51284-2023</t>
        </is>
      </c>
      <c r="B2169" s="1" t="n">
        <v>45219</v>
      </c>
      <c r="C2169" s="1" t="n">
        <v>45231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>
      <c r="A2170" t="inlineStr">
        <is>
          <t>A 53194-2023</t>
        </is>
      </c>
      <c r="B2170" s="1" t="n">
        <v>45229</v>
      </c>
      <c r="C2170" s="1" t="n">
        <v>45231</v>
      </c>
      <c r="D2170" t="inlineStr">
        <is>
          <t>BLEKINGE LÄN</t>
        </is>
      </c>
      <c r="E2170" t="inlineStr">
        <is>
          <t>KARLSHAMN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2023-11-01T06:18:56Z</dcterms:created>
  <dcterms:modified xmlns:dcterms="http://purl.org/dc/terms/" xmlns:xsi="http://www.w3.org/2001/XMLSchema-instance" xsi:type="dcterms:W3CDTF">2023-11-01T06:18:56Z</dcterms:modified>
</cp:coreProperties>
</file>